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dola_dlf_org/Documents/Skrivebord/"/>
    </mc:Choice>
  </mc:AlternateContent>
  <xr:revisionPtr revIDLastSave="0" documentId="8_{7C3125B0-779B-4A70-97B2-BCDCDCC23785}" xr6:coauthVersionLast="47" xr6:coauthVersionMax="47" xr10:uidLastSave="{00000000-0000-0000-0000-000000000000}"/>
  <bookViews>
    <workbookView xWindow="-120" yWindow="-120" windowWidth="29040" windowHeight="15840" tabRatio="732" firstSheet="2" activeTab="9" xr2:uid="{00000000-000D-0000-FFFF-FFFF00000000}"/>
  </bookViews>
  <sheets>
    <sheet name="Ramme" sheetId="15" state="hidden" r:id="rId1"/>
    <sheet name="Forside" sheetId="18" r:id="rId2"/>
    <sheet name="Elever" sheetId="2" r:id="rId3"/>
    <sheet name="Prisfremskrivning" sheetId="42" r:id="rId4"/>
    <sheet name="Rammen" sheetId="26" r:id="rId5"/>
    <sheet name="Grundtildeling" sheetId="36" r:id="rId6"/>
    <sheet name="SFO" sheetId="35" r:id="rId7"/>
    <sheet name="Sociale kriterier" sheetId="53" r:id="rId8"/>
    <sheet name="Klassetildeling" sheetId="44" r:id="rId9"/>
    <sheet name="Samlet oversigt" sheetId="39" r:id="rId10"/>
    <sheet name="Elev -&gt; klasser 1" sheetId="45" r:id="rId11"/>
  </sheets>
  <definedNames>
    <definedName name="_xlnm.Print_Area" localSheetId="2">Elever!$A$1:$U$45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42" l="1"/>
  <c r="F14" i="35"/>
  <c r="E14" i="35"/>
  <c r="D14" i="35"/>
  <c r="C14" i="35"/>
  <c r="B14" i="35"/>
  <c r="F3" i="35"/>
  <c r="D3" i="35"/>
  <c r="C3" i="35"/>
  <c r="B3" i="35"/>
  <c r="B40" i="44" l="1"/>
  <c r="B39" i="44"/>
  <c r="D24" i="2" l="1"/>
  <c r="E24" i="2"/>
  <c r="F24" i="2"/>
  <c r="G24" i="2"/>
  <c r="H24" i="2"/>
  <c r="C24" i="2"/>
  <c r="C82" i="42" l="1"/>
  <c r="G3" i="35" l="1"/>
  <c r="C80" i="42" l="1"/>
  <c r="B53" i="26" s="1"/>
  <c r="C74" i="42"/>
  <c r="B47" i="26" s="1"/>
  <c r="C17" i="35"/>
  <c r="C6" i="39"/>
  <c r="D6" i="39"/>
  <c r="E6" i="39"/>
  <c r="F6" i="39"/>
  <c r="G6" i="39"/>
  <c r="B6" i="39"/>
  <c r="B30" i="42"/>
  <c r="G30" i="42"/>
  <c r="G17" i="42"/>
  <c r="D17" i="35"/>
  <c r="G14" i="35"/>
  <c r="G17" i="35" s="1"/>
  <c r="B17" i="35"/>
  <c r="C101" i="42"/>
  <c r="B73" i="26" s="1"/>
  <c r="C100" i="42"/>
  <c r="B72" i="26" s="1"/>
  <c r="C99" i="42"/>
  <c r="B71" i="26" s="1"/>
  <c r="C98" i="42"/>
  <c r="B70" i="26" s="1"/>
  <c r="C97" i="42"/>
  <c r="B69" i="26" s="1"/>
  <c r="C96" i="42"/>
  <c r="B68" i="26" s="1"/>
  <c r="C95" i="42"/>
  <c r="B67" i="26" s="1"/>
  <c r="C94" i="42"/>
  <c r="B66" i="26" s="1"/>
  <c r="C93" i="42"/>
  <c r="B65" i="26" s="1"/>
  <c r="C92" i="42"/>
  <c r="B64" i="26" s="1"/>
  <c r="C68" i="42"/>
  <c r="B41" i="26" s="1"/>
  <c r="C69" i="42"/>
  <c r="C70" i="42"/>
  <c r="B43" i="26" s="1"/>
  <c r="C71" i="42"/>
  <c r="B44" i="26" s="1"/>
  <c r="C72" i="42"/>
  <c r="B45" i="26" s="1"/>
  <c r="C73" i="42"/>
  <c r="B46" i="26" s="1"/>
  <c r="C75" i="42"/>
  <c r="B48" i="26" s="1"/>
  <c r="C76" i="42"/>
  <c r="B49" i="26" s="1"/>
  <c r="C77" i="42"/>
  <c r="B50" i="26" s="1"/>
  <c r="B51" i="26"/>
  <c r="C79" i="42"/>
  <c r="B52" i="26" s="1"/>
  <c r="C81" i="42"/>
  <c r="B54" i="26" s="1"/>
  <c r="B55" i="26"/>
  <c r="C83" i="42"/>
  <c r="B56" i="26" s="1"/>
  <c r="C84" i="42"/>
  <c r="B57" i="26" s="1"/>
  <c r="C85" i="42"/>
  <c r="B58" i="26" s="1"/>
  <c r="C86" i="42"/>
  <c r="B59" i="26" s="1"/>
  <c r="C87" i="42"/>
  <c r="B60" i="26" s="1"/>
  <c r="C88" i="42"/>
  <c r="B61" i="26" s="1"/>
  <c r="C67" i="42"/>
  <c r="B40" i="26" s="1"/>
  <c r="C66" i="42"/>
  <c r="B39" i="26" s="1"/>
  <c r="C65" i="42"/>
  <c r="B38" i="26" s="1"/>
  <c r="C64" i="42"/>
  <c r="B37" i="26" s="1"/>
  <c r="C63" i="42"/>
  <c r="B36" i="26" s="1"/>
  <c r="C62" i="42"/>
  <c r="B35" i="26" s="1"/>
  <c r="C61" i="42"/>
  <c r="B34" i="26" s="1"/>
  <c r="C52" i="42"/>
  <c r="B25" i="26" s="1"/>
  <c r="C53" i="42"/>
  <c r="B26" i="26" s="1"/>
  <c r="C54" i="42"/>
  <c r="B27" i="26" s="1"/>
  <c r="C55" i="42"/>
  <c r="B28" i="26" s="1"/>
  <c r="C56" i="42"/>
  <c r="B29" i="26" s="1"/>
  <c r="C50" i="42"/>
  <c r="B23" i="26" s="1"/>
  <c r="A65" i="26"/>
  <c r="A66" i="26"/>
  <c r="A67" i="26"/>
  <c r="A68" i="26"/>
  <c r="A69" i="26"/>
  <c r="A70" i="26"/>
  <c r="A71" i="26"/>
  <c r="A72" i="26"/>
  <c r="A73" i="26"/>
  <c r="A58" i="26"/>
  <c r="A59" i="26"/>
  <c r="A60" i="26"/>
  <c r="A61" i="26"/>
  <c r="A50" i="26"/>
  <c r="A51" i="26"/>
  <c r="A52" i="26"/>
  <c r="A53" i="26"/>
  <c r="A54" i="26"/>
  <c r="A55" i="26"/>
  <c r="A56" i="26"/>
  <c r="A57" i="26"/>
  <c r="A24" i="26"/>
  <c r="B24" i="26"/>
  <c r="A25" i="26"/>
  <c r="A26" i="26"/>
  <c r="A27" i="26"/>
  <c r="A28" i="26"/>
  <c r="A29" i="26"/>
  <c r="C45" i="42"/>
  <c r="C44" i="42"/>
  <c r="F38" i="42"/>
  <c r="A38" i="42"/>
  <c r="I34" i="42"/>
  <c r="H34" i="42"/>
  <c r="D34" i="42"/>
  <c r="C34" i="42"/>
  <c r="I32" i="42"/>
  <c r="H32" i="42"/>
  <c r="D32" i="42"/>
  <c r="C32" i="42"/>
  <c r="F29" i="42"/>
  <c r="F25" i="42"/>
  <c r="I21" i="42"/>
  <c r="H21" i="42"/>
  <c r="D21" i="42"/>
  <c r="C21" i="42"/>
  <c r="I19" i="42"/>
  <c r="H19" i="42"/>
  <c r="D19" i="42"/>
  <c r="C19" i="42"/>
  <c r="F16" i="42"/>
  <c r="C13" i="42"/>
  <c r="D13" i="42" s="1"/>
  <c r="B27" i="36" s="1"/>
  <c r="C12" i="42"/>
  <c r="C11" i="42"/>
  <c r="D11" i="42" s="1"/>
  <c r="B25" i="36" s="1"/>
  <c r="C10" i="42"/>
  <c r="D10" i="42" s="1"/>
  <c r="B24" i="36" s="1"/>
  <c r="G81" i="45"/>
  <c r="F81" i="45"/>
  <c r="E81" i="45"/>
  <c r="D81" i="45"/>
  <c r="C81" i="45"/>
  <c r="G36" i="45"/>
  <c r="H140" i="2"/>
  <c r="B44" i="2"/>
  <c r="I23" i="2"/>
  <c r="R96" i="45"/>
  <c r="Q96" i="45"/>
  <c r="P96" i="45"/>
  <c r="O96" i="45"/>
  <c r="N96" i="45"/>
  <c r="G96" i="45"/>
  <c r="F96" i="45"/>
  <c r="E96" i="45"/>
  <c r="D96" i="45"/>
  <c r="C96" i="45"/>
  <c r="G66" i="45"/>
  <c r="F66" i="45"/>
  <c r="E66" i="45"/>
  <c r="D66" i="45"/>
  <c r="C66" i="45"/>
  <c r="G51" i="45"/>
  <c r="F51" i="45"/>
  <c r="E51" i="45"/>
  <c r="D51" i="45"/>
  <c r="C51" i="45"/>
  <c r="R51" i="45"/>
  <c r="Q51" i="45"/>
  <c r="P51" i="45"/>
  <c r="O51" i="45"/>
  <c r="N51" i="45"/>
  <c r="R36" i="45"/>
  <c r="Q36" i="45"/>
  <c r="P36" i="45"/>
  <c r="O36" i="45"/>
  <c r="N36" i="45"/>
  <c r="F36" i="45"/>
  <c r="E36" i="45"/>
  <c r="D36" i="45"/>
  <c r="C36" i="45"/>
  <c r="R21" i="45"/>
  <c r="Q21" i="45"/>
  <c r="P21" i="45"/>
  <c r="O21" i="45"/>
  <c r="N21" i="45"/>
  <c r="R81" i="45"/>
  <c r="Q81" i="45"/>
  <c r="P81" i="45"/>
  <c r="O81" i="45"/>
  <c r="N81" i="45"/>
  <c r="O6" i="2"/>
  <c r="K6" i="2"/>
  <c r="L6" i="2"/>
  <c r="M6" i="2"/>
  <c r="N6" i="2"/>
  <c r="P6" i="2"/>
  <c r="O7" i="2"/>
  <c r="K7" i="2"/>
  <c r="L7" i="2"/>
  <c r="M7" i="2"/>
  <c r="N7" i="2"/>
  <c r="P7" i="2"/>
  <c r="O8" i="2"/>
  <c r="K8" i="2"/>
  <c r="L8" i="2"/>
  <c r="M8" i="2"/>
  <c r="N8" i="2"/>
  <c r="P8" i="2"/>
  <c r="O9" i="2"/>
  <c r="K9" i="2"/>
  <c r="L9" i="2"/>
  <c r="M9" i="2"/>
  <c r="N9" i="2"/>
  <c r="P9" i="2"/>
  <c r="O10" i="2"/>
  <c r="K10" i="2"/>
  <c r="L10" i="2"/>
  <c r="M10" i="2"/>
  <c r="N10" i="2"/>
  <c r="P10" i="2"/>
  <c r="O11" i="2"/>
  <c r="K11" i="2"/>
  <c r="L11" i="2"/>
  <c r="M11" i="2"/>
  <c r="N11" i="2"/>
  <c r="P11" i="2"/>
  <c r="O12" i="2"/>
  <c r="K12" i="2"/>
  <c r="L12" i="2"/>
  <c r="M12" i="2"/>
  <c r="N12" i="2"/>
  <c r="P12" i="2"/>
  <c r="O13" i="2"/>
  <c r="K13" i="2"/>
  <c r="L13" i="2"/>
  <c r="I43" i="2" s="1"/>
  <c r="M13" i="2"/>
  <c r="N13" i="2"/>
  <c r="P13" i="2"/>
  <c r="O14" i="2"/>
  <c r="K14" i="2"/>
  <c r="L14" i="2"/>
  <c r="M14" i="2"/>
  <c r="N14" i="2"/>
  <c r="P14" i="2"/>
  <c r="O15" i="2"/>
  <c r="K15" i="2"/>
  <c r="L15" i="2"/>
  <c r="Q15" i="2" s="1"/>
  <c r="M15" i="2"/>
  <c r="N15" i="2"/>
  <c r="P15" i="2"/>
  <c r="K5" i="2"/>
  <c r="L5" i="2"/>
  <c r="M5" i="2"/>
  <c r="N5" i="2"/>
  <c r="P5" i="2"/>
  <c r="O5" i="2"/>
  <c r="A47" i="26"/>
  <c r="A48" i="26"/>
  <c r="A49" i="26"/>
  <c r="D107" i="45"/>
  <c r="I107" i="45" s="1"/>
  <c r="E107" i="45"/>
  <c r="J107" i="45" s="1"/>
  <c r="F107" i="45"/>
  <c r="K107" i="45" s="1"/>
  <c r="P107" i="45" s="1"/>
  <c r="G107" i="45"/>
  <c r="L107" i="45" s="1"/>
  <c r="D77" i="45"/>
  <c r="I77" i="45"/>
  <c r="E77" i="45"/>
  <c r="J77" i="45" s="1"/>
  <c r="O77" i="45" s="1"/>
  <c r="F77" i="45"/>
  <c r="K77" i="45" s="1"/>
  <c r="G77" i="45"/>
  <c r="L77" i="45"/>
  <c r="D62" i="45"/>
  <c r="I62" i="45"/>
  <c r="E62" i="45"/>
  <c r="J62" i="45" s="1"/>
  <c r="O62" i="45" s="1"/>
  <c r="F62" i="45"/>
  <c r="K62" i="45" s="1"/>
  <c r="G62" i="45"/>
  <c r="L62" i="45"/>
  <c r="D32" i="45"/>
  <c r="I32" i="45"/>
  <c r="E32" i="45"/>
  <c r="J32" i="45" s="1"/>
  <c r="O32" i="45" s="1"/>
  <c r="F32" i="45"/>
  <c r="K32" i="45" s="1"/>
  <c r="G32" i="45"/>
  <c r="L32" i="45"/>
  <c r="R32" i="45" s="1"/>
  <c r="D47" i="45"/>
  <c r="I47" i="45"/>
  <c r="E47" i="45"/>
  <c r="J47" i="45"/>
  <c r="F47" i="45"/>
  <c r="K47" i="45"/>
  <c r="G47" i="45"/>
  <c r="L47" i="45" s="1"/>
  <c r="D92" i="45"/>
  <c r="I92" i="45"/>
  <c r="E92" i="45"/>
  <c r="J92" i="45"/>
  <c r="F92" i="45"/>
  <c r="K92" i="45"/>
  <c r="G92" i="45"/>
  <c r="L92" i="45" s="1"/>
  <c r="C6" i="45"/>
  <c r="H6" i="45"/>
  <c r="D6" i="45"/>
  <c r="L6" i="45" s="1"/>
  <c r="E6" i="45"/>
  <c r="F6" i="45"/>
  <c r="N6" i="45" s="1"/>
  <c r="G6" i="45"/>
  <c r="O6" i="45" s="1"/>
  <c r="I6" i="45"/>
  <c r="Q6" i="45" s="1"/>
  <c r="C7" i="45"/>
  <c r="H7" i="45"/>
  <c r="P7" i="45" s="1"/>
  <c r="X7" i="45" s="1"/>
  <c r="D7" i="45"/>
  <c r="L7" i="45" s="1"/>
  <c r="T7" i="45" s="1"/>
  <c r="E7" i="45"/>
  <c r="M7" i="45" s="1"/>
  <c r="F7" i="45"/>
  <c r="N7" i="45" s="1"/>
  <c r="G7" i="45"/>
  <c r="O7" i="45" s="1"/>
  <c r="W7" i="45" s="1"/>
  <c r="I7" i="45"/>
  <c r="Q7" i="45" s="1"/>
  <c r="Y7" i="45" s="1"/>
  <c r="C8" i="45"/>
  <c r="H8" i="45"/>
  <c r="P8" i="45" s="1"/>
  <c r="X8" i="45" s="1"/>
  <c r="D8" i="45"/>
  <c r="L8" i="45" s="1"/>
  <c r="E8" i="45"/>
  <c r="M8" i="45" s="1"/>
  <c r="U8" i="45" s="1"/>
  <c r="F8" i="45"/>
  <c r="N8" i="45" s="1"/>
  <c r="V8" i="45" s="1"/>
  <c r="G8" i="45"/>
  <c r="O8" i="45" s="1"/>
  <c r="W8" i="45" s="1"/>
  <c r="I8" i="45"/>
  <c r="C9" i="45"/>
  <c r="H9" i="45"/>
  <c r="P9" i="45" s="1"/>
  <c r="D9" i="45"/>
  <c r="L9" i="45" s="1"/>
  <c r="T9" i="45" s="1"/>
  <c r="E9" i="45"/>
  <c r="M9" i="45" s="1"/>
  <c r="F9" i="45"/>
  <c r="G9" i="45"/>
  <c r="O9" i="45" s="1"/>
  <c r="W9" i="45" s="1"/>
  <c r="I9" i="45"/>
  <c r="Q9" i="45" s="1"/>
  <c r="C10" i="45"/>
  <c r="H10" i="45"/>
  <c r="P10" i="45" s="1"/>
  <c r="D10" i="45"/>
  <c r="L10" i="45" s="1"/>
  <c r="E10" i="45"/>
  <c r="M10" i="45" s="1"/>
  <c r="U10" i="45" s="1"/>
  <c r="F10" i="45"/>
  <c r="N10" i="45" s="1"/>
  <c r="G10" i="45"/>
  <c r="O10" i="45" s="1"/>
  <c r="I10" i="45"/>
  <c r="Q10" i="45" s="1"/>
  <c r="Y10" i="45" s="1"/>
  <c r="C11" i="45"/>
  <c r="H11" i="45"/>
  <c r="P11" i="45" s="1"/>
  <c r="X11" i="45" s="1"/>
  <c r="F87" i="45" s="1"/>
  <c r="K87" i="45" s="1"/>
  <c r="D11" i="45"/>
  <c r="L11" i="45" s="1"/>
  <c r="E11" i="45"/>
  <c r="M11" i="45" s="1"/>
  <c r="U11" i="45" s="1"/>
  <c r="F11" i="45"/>
  <c r="N11" i="45" s="1"/>
  <c r="V11" i="45" s="1"/>
  <c r="G11" i="45"/>
  <c r="O11" i="45" s="1"/>
  <c r="W11" i="45" s="1"/>
  <c r="I11" i="45"/>
  <c r="Q11" i="45" s="1"/>
  <c r="Y11" i="45" s="1"/>
  <c r="C12" i="45"/>
  <c r="H12" i="45"/>
  <c r="P12" i="45" s="1"/>
  <c r="D12" i="45"/>
  <c r="L12" i="45" s="1"/>
  <c r="T12" i="45" s="1"/>
  <c r="E12" i="45"/>
  <c r="F12" i="45"/>
  <c r="N12" i="45" s="1"/>
  <c r="G12" i="45"/>
  <c r="O12" i="45" s="1"/>
  <c r="W12" i="45" s="1"/>
  <c r="I12" i="45"/>
  <c r="C13" i="45"/>
  <c r="H13" i="45"/>
  <c r="P13" i="45" s="1"/>
  <c r="X13" i="45" s="1"/>
  <c r="D13" i="45"/>
  <c r="E13" i="45"/>
  <c r="M13" i="45" s="1"/>
  <c r="U13" i="45" s="1"/>
  <c r="F13" i="45"/>
  <c r="N13" i="45" s="1"/>
  <c r="G13" i="45"/>
  <c r="O13" i="45" s="1"/>
  <c r="W13" i="45" s="1"/>
  <c r="I13" i="45"/>
  <c r="Q13" i="45" s="1"/>
  <c r="Y13" i="45" s="1"/>
  <c r="C14" i="45"/>
  <c r="H14" i="45"/>
  <c r="D14" i="45"/>
  <c r="L14" i="45" s="1"/>
  <c r="T14" i="45" s="1"/>
  <c r="E14" i="45"/>
  <c r="M14" i="45" s="1"/>
  <c r="F14" i="45"/>
  <c r="N14" i="45" s="1"/>
  <c r="G14" i="45"/>
  <c r="O14" i="45" s="1"/>
  <c r="W14" i="45" s="1"/>
  <c r="I14" i="45"/>
  <c r="Q14" i="45" s="1"/>
  <c r="Y14" i="45" s="1"/>
  <c r="C15" i="45"/>
  <c r="H15" i="45"/>
  <c r="D15" i="45"/>
  <c r="L15" i="45" s="1"/>
  <c r="T15" i="45" s="1"/>
  <c r="E31" i="45" s="1"/>
  <c r="J31" i="45" s="1"/>
  <c r="E15" i="45"/>
  <c r="M15" i="45" s="1"/>
  <c r="F15" i="45"/>
  <c r="N15" i="45" s="1"/>
  <c r="V15" i="45" s="1"/>
  <c r="G61" i="45" s="1"/>
  <c r="L61" i="45" s="1"/>
  <c r="G15" i="45"/>
  <c r="O15" i="45" s="1"/>
  <c r="W15" i="45" s="1"/>
  <c r="I15" i="45"/>
  <c r="Q15" i="45" s="1"/>
  <c r="Y15" i="45" s="1"/>
  <c r="C16" i="45"/>
  <c r="H16" i="45"/>
  <c r="D16" i="45"/>
  <c r="E16" i="45"/>
  <c r="F16" i="45"/>
  <c r="G16" i="45"/>
  <c r="I16" i="45"/>
  <c r="C17" i="45"/>
  <c r="H5" i="45"/>
  <c r="D5" i="45"/>
  <c r="E5" i="45"/>
  <c r="F5" i="45"/>
  <c r="G5" i="45"/>
  <c r="I5" i="45"/>
  <c r="J5" i="45"/>
  <c r="C6" i="35"/>
  <c r="I14" i="39"/>
  <c r="S16" i="2"/>
  <c r="A46" i="26"/>
  <c r="A45" i="26"/>
  <c r="A44" i="26"/>
  <c r="A43" i="26"/>
  <c r="A42" i="26"/>
  <c r="A64" i="26"/>
  <c r="A63" i="26"/>
  <c r="A36" i="26"/>
  <c r="A37" i="26"/>
  <c r="A38" i="26"/>
  <c r="A39" i="26"/>
  <c r="A40" i="26"/>
  <c r="A41" i="26"/>
  <c r="A35" i="26"/>
  <c r="A34" i="26"/>
  <c r="A23" i="26"/>
  <c r="E3" i="35"/>
  <c r="E5" i="39" s="1"/>
  <c r="G6" i="35"/>
  <c r="D6" i="35"/>
  <c r="B6" i="35"/>
  <c r="F36" i="2"/>
  <c r="F37" i="2"/>
  <c r="F38" i="2"/>
  <c r="F39" i="2"/>
  <c r="F41" i="2"/>
  <c r="F42" i="2"/>
  <c r="F44" i="2"/>
  <c r="D36" i="2"/>
  <c r="D37" i="2"/>
  <c r="D38" i="2"/>
  <c r="D39" i="2"/>
  <c r="I39" i="2" s="1"/>
  <c r="D41" i="2"/>
  <c r="D42" i="2"/>
  <c r="D44" i="2"/>
  <c r="H38" i="2"/>
  <c r="E38" i="2"/>
  <c r="C38" i="2"/>
  <c r="B38" i="2"/>
  <c r="H37" i="2"/>
  <c r="E37" i="2"/>
  <c r="C37" i="2"/>
  <c r="B37" i="2"/>
  <c r="H36" i="2"/>
  <c r="E36" i="2"/>
  <c r="C36" i="2"/>
  <c r="B36" i="2"/>
  <c r="H35" i="2"/>
  <c r="F35" i="2"/>
  <c r="D35" i="2"/>
  <c r="C35" i="2"/>
  <c r="B35" i="2"/>
  <c r="H34" i="2"/>
  <c r="F34" i="2"/>
  <c r="E34" i="2"/>
  <c r="D34" i="2"/>
  <c r="C34" i="2"/>
  <c r="B34" i="2"/>
  <c r="H33" i="2"/>
  <c r="F33" i="2"/>
  <c r="E33" i="2"/>
  <c r="D33" i="2"/>
  <c r="C33" i="2"/>
  <c r="B33" i="2"/>
  <c r="H32" i="2"/>
  <c r="F32" i="2"/>
  <c r="E32" i="2"/>
  <c r="D32" i="2"/>
  <c r="C32" i="2"/>
  <c r="B32" i="2"/>
  <c r="H31" i="2"/>
  <c r="F31" i="2"/>
  <c r="E31" i="2"/>
  <c r="D31" i="2"/>
  <c r="C31" i="2"/>
  <c r="B31" i="2"/>
  <c r="H30" i="2"/>
  <c r="H29" i="2" s="1"/>
  <c r="F30" i="2"/>
  <c r="F29" i="2" s="1"/>
  <c r="E30" i="2"/>
  <c r="E29" i="2" s="1"/>
  <c r="D30" i="2"/>
  <c r="D29" i="2" s="1"/>
  <c r="C30" i="2"/>
  <c r="C29" i="2" s="1"/>
  <c r="B30" i="2"/>
  <c r="B29" i="2" s="1"/>
  <c r="H28" i="2"/>
  <c r="F28" i="2"/>
  <c r="E28" i="2"/>
  <c r="D28" i="2"/>
  <c r="C28" i="2"/>
  <c r="B28" i="2"/>
  <c r="A25" i="2"/>
  <c r="H16" i="2"/>
  <c r="E16" i="2"/>
  <c r="D16" i="2"/>
  <c r="C16" i="2"/>
  <c r="G16" i="2"/>
  <c r="I15" i="2"/>
  <c r="J16" i="45" s="1"/>
  <c r="I14" i="2"/>
  <c r="J15" i="45" s="1"/>
  <c r="I13" i="2"/>
  <c r="J14" i="45" s="1"/>
  <c r="I12" i="2"/>
  <c r="J13" i="45" s="1"/>
  <c r="I11" i="2"/>
  <c r="J12" i="45" s="1"/>
  <c r="I10" i="2"/>
  <c r="J11" i="45" s="1"/>
  <c r="I9" i="2"/>
  <c r="J10" i="45" s="1"/>
  <c r="I8" i="2"/>
  <c r="J9" i="45" s="1"/>
  <c r="I7" i="2"/>
  <c r="J8" i="45" s="1"/>
  <c r="I6" i="2"/>
  <c r="J7" i="45" s="1"/>
  <c r="I5" i="2"/>
  <c r="J6" i="45" s="1"/>
  <c r="C44" i="2"/>
  <c r="F16" i="2"/>
  <c r="I22" i="2"/>
  <c r="B28" i="15"/>
  <c r="B32" i="15" s="1"/>
  <c r="B15" i="15"/>
  <c r="B17" i="15" s="1"/>
  <c r="E44" i="2"/>
  <c r="I41" i="2"/>
  <c r="H44" i="2"/>
  <c r="I44" i="2"/>
  <c r="F5" i="39"/>
  <c r="P47" i="45"/>
  <c r="O47" i="45"/>
  <c r="P92" i="45"/>
  <c r="O92" i="45"/>
  <c r="R77" i="45"/>
  <c r="R62" i="45"/>
  <c r="B42" i="26"/>
  <c r="F17" i="35"/>
  <c r="B5" i="39"/>
  <c r="C5" i="39"/>
  <c r="F6" i="35"/>
  <c r="I23" i="42" l="1"/>
  <c r="I36" i="42"/>
  <c r="C23" i="42"/>
  <c r="E35" i="2"/>
  <c r="E40" i="2" s="1"/>
  <c r="B34" i="15"/>
  <c r="O107" i="45"/>
  <c r="P62" i="45"/>
  <c r="Q62" i="45"/>
  <c r="P77" i="45"/>
  <c r="Q77" i="45"/>
  <c r="Q47" i="45"/>
  <c r="R47" i="45"/>
  <c r="Q92" i="45"/>
  <c r="R92" i="45"/>
  <c r="Q32" i="45"/>
  <c r="P32" i="45"/>
  <c r="Q107" i="45"/>
  <c r="R107" i="45"/>
  <c r="D23" i="42"/>
  <c r="H23" i="42"/>
  <c r="I42" i="2"/>
  <c r="D36" i="42"/>
  <c r="G4" i="39"/>
  <c r="H19" i="2"/>
  <c r="E3" i="53"/>
  <c r="E7" i="53" s="1"/>
  <c r="F19" i="2"/>
  <c r="F43" i="2" s="1"/>
  <c r="D3" i="53"/>
  <c r="D7" i="53" s="1"/>
  <c r="E19" i="2"/>
  <c r="C4" i="39"/>
  <c r="D19" i="2"/>
  <c r="D43" i="2" s="1"/>
  <c r="B5" i="36"/>
  <c r="C5" i="36" s="1"/>
  <c r="C19" i="2"/>
  <c r="F3" i="53"/>
  <c r="F7" i="53" s="1"/>
  <c r="G19" i="2"/>
  <c r="I24" i="2"/>
  <c r="Q8" i="45"/>
  <c r="Y8" i="45" s="1"/>
  <c r="Q11" i="2"/>
  <c r="D12" i="42"/>
  <c r="B26" i="36" s="1"/>
  <c r="F104" i="45"/>
  <c r="K104" i="45" s="1"/>
  <c r="E104" i="45"/>
  <c r="J104" i="45" s="1"/>
  <c r="G104" i="45"/>
  <c r="L104" i="45" s="1"/>
  <c r="R104" i="45" s="1"/>
  <c r="AJ11" i="44" s="1"/>
  <c r="D104" i="45"/>
  <c r="I104" i="45" s="1"/>
  <c r="F70" i="45"/>
  <c r="K70" i="45" s="1"/>
  <c r="D70" i="45"/>
  <c r="I70" i="45" s="1"/>
  <c r="E69" i="45"/>
  <c r="J69" i="45" s="1"/>
  <c r="F69" i="45"/>
  <c r="K69" i="45" s="1"/>
  <c r="I38" i="2"/>
  <c r="M16" i="2"/>
  <c r="B31" i="39" s="1"/>
  <c r="U14" i="45"/>
  <c r="F45" i="45" s="1"/>
  <c r="K45" i="45" s="1"/>
  <c r="Q14" i="2"/>
  <c r="Q13" i="2"/>
  <c r="I37" i="2"/>
  <c r="I34" i="2"/>
  <c r="P15" i="45"/>
  <c r="X15" i="45" s="1"/>
  <c r="G69" i="45"/>
  <c r="L69" i="45" s="1"/>
  <c r="R69" i="45" s="1"/>
  <c r="X6" i="44" s="1"/>
  <c r="Q12" i="2"/>
  <c r="V12" i="45"/>
  <c r="G58" i="45" s="1"/>
  <c r="L58" i="45" s="1"/>
  <c r="I32" i="2"/>
  <c r="Q8" i="2"/>
  <c r="I35" i="2"/>
  <c r="I6" i="39"/>
  <c r="D5" i="39"/>
  <c r="Q10" i="2"/>
  <c r="Q9" i="2"/>
  <c r="X12" i="45"/>
  <c r="F88" i="45" s="1"/>
  <c r="K88" i="45" s="1"/>
  <c r="O16" i="2"/>
  <c r="B34" i="39" s="1"/>
  <c r="B40" i="2"/>
  <c r="Q7" i="2"/>
  <c r="F4" i="39"/>
  <c r="I31" i="2"/>
  <c r="G74" i="45"/>
  <c r="L74" i="45" s="1"/>
  <c r="F74" i="45"/>
  <c r="K74" i="45" s="1"/>
  <c r="E74" i="45"/>
  <c r="J74" i="45" s="1"/>
  <c r="D74" i="45"/>
  <c r="I74" i="45" s="1"/>
  <c r="W10" i="45"/>
  <c r="G71" i="45" s="1"/>
  <c r="L71" i="45" s="1"/>
  <c r="N16" i="2"/>
  <c r="B33" i="39" s="1"/>
  <c r="I36" i="2"/>
  <c r="E57" i="45"/>
  <c r="J57" i="45" s="1"/>
  <c r="F57" i="45"/>
  <c r="K57" i="45" s="1"/>
  <c r="D57" i="45"/>
  <c r="I57" i="45" s="1"/>
  <c r="G57" i="45"/>
  <c r="L57" i="45" s="1"/>
  <c r="V10" i="45"/>
  <c r="E56" i="45" s="1"/>
  <c r="J56" i="45" s="1"/>
  <c r="V7" i="45"/>
  <c r="G53" i="45" s="1"/>
  <c r="L53" i="45" s="1"/>
  <c r="E44" i="45"/>
  <c r="J44" i="45" s="1"/>
  <c r="D44" i="45"/>
  <c r="I44" i="45" s="1"/>
  <c r="G44" i="45"/>
  <c r="L44" i="45" s="1"/>
  <c r="R44" i="45" s="1"/>
  <c r="K11" i="44" s="1"/>
  <c r="F44" i="45"/>
  <c r="K44" i="45" s="1"/>
  <c r="M12" i="45"/>
  <c r="U12" i="45" s="1"/>
  <c r="F43" i="45" s="1"/>
  <c r="K43" i="45" s="1"/>
  <c r="L16" i="2"/>
  <c r="B32" i="39" s="1"/>
  <c r="G31" i="45"/>
  <c r="L31" i="45" s="1"/>
  <c r="D31" i="45"/>
  <c r="I31" i="45" s="1"/>
  <c r="O31" i="45" s="1"/>
  <c r="B13" i="44" s="1"/>
  <c r="F31" i="45"/>
  <c r="K31" i="45" s="1"/>
  <c r="P31" i="45" s="1"/>
  <c r="C13" i="44" s="1"/>
  <c r="F30" i="45"/>
  <c r="K30" i="45" s="1"/>
  <c r="G30" i="45"/>
  <c r="L30" i="45" s="1"/>
  <c r="D30" i="45"/>
  <c r="I30" i="45" s="1"/>
  <c r="E30" i="45"/>
  <c r="J30" i="45" s="1"/>
  <c r="C40" i="2"/>
  <c r="L13" i="45"/>
  <c r="T13" i="45" s="1"/>
  <c r="D28" i="45"/>
  <c r="I28" i="45" s="1"/>
  <c r="F28" i="45"/>
  <c r="K28" i="45" s="1"/>
  <c r="E28" i="45"/>
  <c r="J28" i="45" s="1"/>
  <c r="G28" i="45"/>
  <c r="L28" i="45" s="1"/>
  <c r="I33" i="2"/>
  <c r="F25" i="45"/>
  <c r="K25" i="45" s="1"/>
  <c r="E25" i="45"/>
  <c r="J25" i="45" s="1"/>
  <c r="D25" i="45"/>
  <c r="I25" i="45" s="1"/>
  <c r="G25" i="45"/>
  <c r="L25" i="45" s="1"/>
  <c r="R25" i="45" s="1"/>
  <c r="E7" i="44" s="1"/>
  <c r="G23" i="45"/>
  <c r="L23" i="45" s="1"/>
  <c r="E23" i="45"/>
  <c r="J23" i="45" s="1"/>
  <c r="D23" i="45"/>
  <c r="I23" i="45" s="1"/>
  <c r="F23" i="45"/>
  <c r="K23" i="45" s="1"/>
  <c r="B7" i="36"/>
  <c r="C7" i="36" s="1"/>
  <c r="H14" i="35"/>
  <c r="H3" i="35"/>
  <c r="G5" i="39"/>
  <c r="F106" i="45"/>
  <c r="K106" i="45" s="1"/>
  <c r="E106" i="45"/>
  <c r="J106" i="45" s="1"/>
  <c r="D106" i="45"/>
  <c r="I106" i="45" s="1"/>
  <c r="G106" i="45"/>
  <c r="L106" i="45" s="1"/>
  <c r="D105" i="45"/>
  <c r="I105" i="45" s="1"/>
  <c r="F105" i="45"/>
  <c r="K105" i="45" s="1"/>
  <c r="E105" i="45"/>
  <c r="J105" i="45" s="1"/>
  <c r="G105" i="45"/>
  <c r="L105" i="45" s="1"/>
  <c r="H40" i="2"/>
  <c r="Q12" i="45"/>
  <c r="E102" i="45"/>
  <c r="J102" i="45" s="1"/>
  <c r="F102" i="45"/>
  <c r="K102" i="45" s="1"/>
  <c r="G102" i="45"/>
  <c r="L102" i="45" s="1"/>
  <c r="D102" i="45"/>
  <c r="I102" i="45" s="1"/>
  <c r="L6" i="36"/>
  <c r="L5" i="36"/>
  <c r="M5" i="36" s="1"/>
  <c r="E101" i="45"/>
  <c r="J101" i="45" s="1"/>
  <c r="F101" i="45"/>
  <c r="K101" i="45" s="1"/>
  <c r="G101" i="45"/>
  <c r="L101" i="45" s="1"/>
  <c r="D101" i="45"/>
  <c r="I101" i="45" s="1"/>
  <c r="Y9" i="45"/>
  <c r="I17" i="45"/>
  <c r="P16" i="2"/>
  <c r="B35" i="39" s="1"/>
  <c r="D98" i="45"/>
  <c r="I98" i="45" s="1"/>
  <c r="E98" i="45"/>
  <c r="J98" i="45" s="1"/>
  <c r="F98" i="45"/>
  <c r="K98" i="45" s="1"/>
  <c r="G98" i="45"/>
  <c r="L98" i="45" s="1"/>
  <c r="L7" i="36"/>
  <c r="M7" i="36" s="1"/>
  <c r="G3" i="53"/>
  <c r="G7" i="53" s="1"/>
  <c r="Q6" i="2"/>
  <c r="Y6" i="45"/>
  <c r="P14" i="45"/>
  <c r="R14" i="45" s="1"/>
  <c r="F89" i="45"/>
  <c r="K89" i="45" s="1"/>
  <c r="D89" i="45"/>
  <c r="I89" i="45" s="1"/>
  <c r="G89" i="45"/>
  <c r="L89" i="45" s="1"/>
  <c r="E89" i="45"/>
  <c r="J89" i="45" s="1"/>
  <c r="G88" i="45"/>
  <c r="L88" i="45" s="1"/>
  <c r="E87" i="45"/>
  <c r="J87" i="45" s="1"/>
  <c r="G87" i="45"/>
  <c r="L87" i="45" s="1"/>
  <c r="D87" i="45"/>
  <c r="I87" i="45" s="1"/>
  <c r="X10" i="45"/>
  <c r="X9" i="45"/>
  <c r="F84" i="45"/>
  <c r="K84" i="45" s="1"/>
  <c r="G84" i="45"/>
  <c r="L84" i="45" s="1"/>
  <c r="D84" i="45"/>
  <c r="I84" i="45" s="1"/>
  <c r="E84" i="45"/>
  <c r="J84" i="45" s="1"/>
  <c r="F83" i="45"/>
  <c r="K83" i="45" s="1"/>
  <c r="E83" i="45"/>
  <c r="J83" i="45" s="1"/>
  <c r="D83" i="45"/>
  <c r="I83" i="45" s="1"/>
  <c r="G83" i="45"/>
  <c r="L83" i="45" s="1"/>
  <c r="H17" i="45"/>
  <c r="J6" i="36"/>
  <c r="P6" i="45"/>
  <c r="X6" i="45" s="1"/>
  <c r="J5" i="36"/>
  <c r="K5" i="36" s="1"/>
  <c r="J7" i="36"/>
  <c r="K7" i="36" s="1"/>
  <c r="E76" i="45"/>
  <c r="J76" i="45" s="1"/>
  <c r="F76" i="45"/>
  <c r="K76" i="45" s="1"/>
  <c r="G76" i="45"/>
  <c r="L76" i="45" s="1"/>
  <c r="D76" i="45"/>
  <c r="I76" i="45" s="1"/>
  <c r="F75" i="45"/>
  <c r="K75" i="45" s="1"/>
  <c r="D75" i="45"/>
  <c r="I75" i="45" s="1"/>
  <c r="E75" i="45"/>
  <c r="J75" i="45" s="1"/>
  <c r="G75" i="45"/>
  <c r="L75" i="45" s="1"/>
  <c r="G73" i="45"/>
  <c r="L73" i="45" s="1"/>
  <c r="F73" i="45"/>
  <c r="K73" i="45" s="1"/>
  <c r="E73" i="45"/>
  <c r="J73" i="45" s="1"/>
  <c r="D73" i="45"/>
  <c r="I73" i="45" s="1"/>
  <c r="E72" i="45"/>
  <c r="J72" i="45" s="1"/>
  <c r="D72" i="45"/>
  <c r="I72" i="45" s="1"/>
  <c r="F72" i="45"/>
  <c r="K72" i="45" s="1"/>
  <c r="G72" i="45"/>
  <c r="L72" i="45" s="1"/>
  <c r="G70" i="45"/>
  <c r="L70" i="45" s="1"/>
  <c r="E70" i="45"/>
  <c r="J70" i="45" s="1"/>
  <c r="D69" i="45"/>
  <c r="I69" i="45" s="1"/>
  <c r="O69" i="45" s="1"/>
  <c r="U6" i="44" s="1"/>
  <c r="E4" i="39"/>
  <c r="F68" i="45"/>
  <c r="K68" i="45" s="1"/>
  <c r="D68" i="45"/>
  <c r="I68" i="45" s="1"/>
  <c r="E68" i="45"/>
  <c r="J68" i="45" s="1"/>
  <c r="G68" i="45"/>
  <c r="L68" i="45" s="1"/>
  <c r="O17" i="45"/>
  <c r="G17" i="45"/>
  <c r="I30" i="2"/>
  <c r="F40" i="2"/>
  <c r="H6" i="36"/>
  <c r="W6" i="45"/>
  <c r="H7" i="36"/>
  <c r="I7" i="36" s="1"/>
  <c r="H5" i="36"/>
  <c r="I5" i="36" s="1"/>
  <c r="R61" i="45"/>
  <c r="R13" i="44" s="1"/>
  <c r="D61" i="45"/>
  <c r="I61" i="45" s="1"/>
  <c r="E61" i="45"/>
  <c r="J61" i="45" s="1"/>
  <c r="F61" i="45"/>
  <c r="K61" i="45" s="1"/>
  <c r="V14" i="45"/>
  <c r="V13" i="45"/>
  <c r="F17" i="45"/>
  <c r="N9" i="45"/>
  <c r="V9" i="45" s="1"/>
  <c r="E54" i="45"/>
  <c r="J54" i="45" s="1"/>
  <c r="D54" i="45"/>
  <c r="I54" i="45" s="1"/>
  <c r="G54" i="45"/>
  <c r="L54" i="45" s="1"/>
  <c r="F54" i="45"/>
  <c r="K54" i="45" s="1"/>
  <c r="D53" i="45"/>
  <c r="I53" i="45" s="1"/>
  <c r="I29" i="2"/>
  <c r="D4" i="39"/>
  <c r="F6" i="36"/>
  <c r="F5" i="36"/>
  <c r="G5" i="36" s="1"/>
  <c r="V6" i="45"/>
  <c r="F7" i="36"/>
  <c r="G7" i="36" s="1"/>
  <c r="U15" i="45"/>
  <c r="E17" i="45"/>
  <c r="D5" i="36"/>
  <c r="E5" i="36" s="1"/>
  <c r="D40" i="2"/>
  <c r="D6" i="36"/>
  <c r="G42" i="45"/>
  <c r="L42" i="45" s="1"/>
  <c r="F42" i="45"/>
  <c r="K42" i="45" s="1"/>
  <c r="D42" i="45"/>
  <c r="I42" i="45" s="1"/>
  <c r="E42" i="45"/>
  <c r="J42" i="45" s="1"/>
  <c r="R11" i="45"/>
  <c r="F41" i="45"/>
  <c r="K41" i="45" s="1"/>
  <c r="D41" i="45"/>
  <c r="I41" i="45" s="1"/>
  <c r="E41" i="45"/>
  <c r="J41" i="45" s="1"/>
  <c r="G41" i="45"/>
  <c r="L41" i="45" s="1"/>
  <c r="R10" i="45"/>
  <c r="U9" i="45"/>
  <c r="E39" i="45"/>
  <c r="J39" i="45" s="1"/>
  <c r="G39" i="45"/>
  <c r="L39" i="45" s="1"/>
  <c r="F39" i="45"/>
  <c r="K39" i="45" s="1"/>
  <c r="D39" i="45"/>
  <c r="I39" i="45" s="1"/>
  <c r="U7" i="45"/>
  <c r="R7" i="45"/>
  <c r="D7" i="36"/>
  <c r="E7" i="36" s="1"/>
  <c r="C3" i="53"/>
  <c r="C7" i="53" s="1"/>
  <c r="M6" i="45"/>
  <c r="Q5" i="2"/>
  <c r="T11" i="45"/>
  <c r="D17" i="45"/>
  <c r="T10" i="45"/>
  <c r="B4" i="39"/>
  <c r="T8" i="45"/>
  <c r="I16" i="2"/>
  <c r="K16" i="2"/>
  <c r="B6" i="36"/>
  <c r="C6" i="36" s="1"/>
  <c r="B3" i="53"/>
  <c r="T6" i="45"/>
  <c r="H36" i="42"/>
  <c r="C36" i="42"/>
  <c r="I4" i="36"/>
  <c r="M4" i="36"/>
  <c r="C4" i="36"/>
  <c r="K4" i="36"/>
  <c r="G4" i="36"/>
  <c r="E4" i="36"/>
  <c r="B75" i="26"/>
  <c r="E17" i="35"/>
  <c r="H17" i="35" s="1"/>
  <c r="B16" i="26"/>
  <c r="E27" i="44" s="1"/>
  <c r="P104" i="45" l="1"/>
  <c r="AH11" i="44" s="1"/>
  <c r="G25" i="42"/>
  <c r="E24" i="44" s="1"/>
  <c r="M17" i="45"/>
  <c r="G38" i="42"/>
  <c r="K14" i="35" s="1"/>
  <c r="E16" i="35" s="1"/>
  <c r="B38" i="42"/>
  <c r="K3" i="35" s="1"/>
  <c r="E8" i="35" s="1"/>
  <c r="E18" i="39" s="1"/>
  <c r="B25" i="42"/>
  <c r="H21" i="44" s="1"/>
  <c r="B41" i="44" s="1"/>
  <c r="E71" i="45"/>
  <c r="J71" i="45" s="1"/>
  <c r="G45" i="45"/>
  <c r="L45" i="45" s="1"/>
  <c r="Q45" i="45" s="1"/>
  <c r="J12" i="44" s="1"/>
  <c r="F53" i="45"/>
  <c r="K53" i="45" s="1"/>
  <c r="Q53" i="45" s="1"/>
  <c r="Q5" i="44" s="1"/>
  <c r="K19" i="2"/>
  <c r="B30" i="39"/>
  <c r="O101" i="45"/>
  <c r="AG8" i="44" s="1"/>
  <c r="P69" i="45"/>
  <c r="V6" i="44" s="1"/>
  <c r="E53" i="45"/>
  <c r="J53" i="45" s="1"/>
  <c r="R8" i="45"/>
  <c r="R15" i="45"/>
  <c r="F56" i="45"/>
  <c r="K56" i="45" s="1"/>
  <c r="P56" i="45" s="1"/>
  <c r="P8" i="44" s="1"/>
  <c r="O70" i="45"/>
  <c r="U7" i="44" s="1"/>
  <c r="P72" i="45"/>
  <c r="V9" i="44" s="1"/>
  <c r="D99" i="45"/>
  <c r="I99" i="45" s="1"/>
  <c r="E99" i="45"/>
  <c r="J99" i="45" s="1"/>
  <c r="O72" i="45"/>
  <c r="U9" i="44" s="1"/>
  <c r="P61" i="45"/>
  <c r="P13" i="44" s="1"/>
  <c r="L17" i="45"/>
  <c r="R13" i="45"/>
  <c r="I6" i="36"/>
  <c r="I9" i="36" s="1"/>
  <c r="E10" i="39" s="1"/>
  <c r="E6" i="36"/>
  <c r="E9" i="36" s="1"/>
  <c r="C10" i="39" s="1"/>
  <c r="M6" i="36"/>
  <c r="M9" i="36" s="1"/>
  <c r="G10" i="39" s="1"/>
  <c r="O54" i="45"/>
  <c r="O6" i="44" s="1"/>
  <c r="O44" i="45"/>
  <c r="H11" i="44" s="1"/>
  <c r="G99" i="45"/>
  <c r="L99" i="45" s="1"/>
  <c r="R99" i="45" s="1"/>
  <c r="AJ6" i="44" s="1"/>
  <c r="P75" i="45"/>
  <c r="V12" i="44" s="1"/>
  <c r="E88" i="45"/>
  <c r="J88" i="45" s="1"/>
  <c r="P88" i="45" s="1"/>
  <c r="AB10" i="44" s="1"/>
  <c r="J17" i="45"/>
  <c r="I19" i="2"/>
  <c r="F99" i="45"/>
  <c r="K99" i="45" s="1"/>
  <c r="O75" i="45"/>
  <c r="U12" i="44" s="1"/>
  <c r="E3" i="39"/>
  <c r="N19" i="2"/>
  <c r="D58" i="45"/>
  <c r="I58" i="45" s="1"/>
  <c r="D3" i="39"/>
  <c r="M19" i="2"/>
  <c r="C3" i="39"/>
  <c r="L19" i="2"/>
  <c r="G3" i="39"/>
  <c r="P19" i="2"/>
  <c r="F3" i="39"/>
  <c r="O19" i="2"/>
  <c r="P68" i="45"/>
  <c r="V5" i="44" s="1"/>
  <c r="Q104" i="45"/>
  <c r="AI11" i="44" s="1"/>
  <c r="F71" i="45"/>
  <c r="K71" i="45" s="1"/>
  <c r="F58" i="45"/>
  <c r="K58" i="45" s="1"/>
  <c r="Q58" i="45" s="1"/>
  <c r="Q10" i="44" s="1"/>
  <c r="E58" i="45"/>
  <c r="J58" i="45" s="1"/>
  <c r="P57" i="45"/>
  <c r="P9" i="44" s="1"/>
  <c r="O57" i="45"/>
  <c r="O9" i="44" s="1"/>
  <c r="G56" i="45"/>
  <c r="L56" i="45" s="1"/>
  <c r="D56" i="45"/>
  <c r="I56" i="45" s="1"/>
  <c r="O56" i="45" s="1"/>
  <c r="O8" i="44" s="1"/>
  <c r="R12" i="45"/>
  <c r="P25" i="45"/>
  <c r="C7" i="44" s="1"/>
  <c r="O25" i="45"/>
  <c r="B7" i="44" s="1"/>
  <c r="P23" i="45"/>
  <c r="C5" i="44" s="1"/>
  <c r="G16" i="35"/>
  <c r="G19" i="35" s="1"/>
  <c r="G19" i="39" s="1"/>
  <c r="B16" i="35"/>
  <c r="B19" i="35" s="1"/>
  <c r="C16" i="35"/>
  <c r="C19" i="35" s="1"/>
  <c r="C19" i="39" s="1"/>
  <c r="G6" i="36"/>
  <c r="G9" i="36" s="1"/>
  <c r="D10" i="39" s="1"/>
  <c r="K6" i="36"/>
  <c r="K9" i="36" s="1"/>
  <c r="F10" i="39" s="1"/>
  <c r="O104" i="45"/>
  <c r="AG11" i="44" s="1"/>
  <c r="D88" i="45"/>
  <c r="I88" i="45" s="1"/>
  <c r="O84" i="45"/>
  <c r="AA6" i="44" s="1"/>
  <c r="R6" i="45"/>
  <c r="Q69" i="45"/>
  <c r="W6" i="44" s="1"/>
  <c r="R9" i="45"/>
  <c r="D45" i="45"/>
  <c r="I45" i="45" s="1"/>
  <c r="E45" i="45"/>
  <c r="J45" i="45" s="1"/>
  <c r="P45" i="45" s="1"/>
  <c r="I12" i="44" s="1"/>
  <c r="P44" i="45"/>
  <c r="I11" i="44" s="1"/>
  <c r="P39" i="45"/>
  <c r="I6" i="44" s="1"/>
  <c r="P30" i="45"/>
  <c r="C12" i="44" s="1"/>
  <c r="P28" i="45"/>
  <c r="C10" i="44" s="1"/>
  <c r="P105" i="45"/>
  <c r="AH12" i="44" s="1"/>
  <c r="F91" i="45"/>
  <c r="K91" i="45" s="1"/>
  <c r="D91" i="45"/>
  <c r="I91" i="45" s="1"/>
  <c r="G91" i="45"/>
  <c r="L91" i="45" s="1"/>
  <c r="R91" i="45" s="1"/>
  <c r="AD13" i="44" s="1"/>
  <c r="E91" i="45"/>
  <c r="J91" i="45" s="1"/>
  <c r="O74" i="45"/>
  <c r="U11" i="44" s="1"/>
  <c r="O73" i="45"/>
  <c r="U10" i="44" s="1"/>
  <c r="D71" i="45"/>
  <c r="I71" i="45" s="1"/>
  <c r="O71" i="45" s="1"/>
  <c r="U8" i="44" s="1"/>
  <c r="G43" i="45"/>
  <c r="L43" i="45" s="1"/>
  <c r="R43" i="45" s="1"/>
  <c r="K10" i="44" s="1"/>
  <c r="E43" i="45"/>
  <c r="J43" i="45" s="1"/>
  <c r="P43" i="45" s="1"/>
  <c r="I10" i="44" s="1"/>
  <c r="O28" i="45"/>
  <c r="B10" i="44" s="1"/>
  <c r="I5" i="39"/>
  <c r="O42" i="45"/>
  <c r="H9" i="44" s="1"/>
  <c r="P41" i="45"/>
  <c r="I8" i="44" s="1"/>
  <c r="O41" i="45"/>
  <c r="H8" i="44" s="1"/>
  <c r="O106" i="45"/>
  <c r="AG13" i="44" s="1"/>
  <c r="O105" i="45"/>
  <c r="AG12" i="44" s="1"/>
  <c r="P98" i="45"/>
  <c r="AH5" i="44" s="1"/>
  <c r="O83" i="45"/>
  <c r="AA5" i="44" s="1"/>
  <c r="P74" i="45"/>
  <c r="V11" i="44" s="1"/>
  <c r="Q74" i="45"/>
  <c r="W11" i="44" s="1"/>
  <c r="R74" i="45"/>
  <c r="X11" i="44" s="1"/>
  <c r="Q57" i="45"/>
  <c r="Q9" i="44" s="1"/>
  <c r="R57" i="45"/>
  <c r="R9" i="44" s="1"/>
  <c r="N17" i="45"/>
  <c r="Q44" i="45"/>
  <c r="J11" i="44" s="1"/>
  <c r="D43" i="45"/>
  <c r="I43" i="45" s="1"/>
  <c r="O39" i="45"/>
  <c r="H6" i="44" s="1"/>
  <c r="U6" i="45"/>
  <c r="E37" i="45" s="1"/>
  <c r="J37" i="45" s="1"/>
  <c r="Q31" i="45"/>
  <c r="D13" i="44" s="1"/>
  <c r="R31" i="45"/>
  <c r="E13" i="44" s="1"/>
  <c r="O30" i="45"/>
  <c r="B12" i="44" s="1"/>
  <c r="Q30" i="45"/>
  <c r="D12" i="44" s="1"/>
  <c r="R30" i="45"/>
  <c r="E12" i="44" s="1"/>
  <c r="E29" i="45"/>
  <c r="J29" i="45" s="1"/>
  <c r="D29" i="45"/>
  <c r="I29" i="45" s="1"/>
  <c r="F29" i="45"/>
  <c r="K29" i="45" s="1"/>
  <c r="G29" i="45"/>
  <c r="L29" i="45" s="1"/>
  <c r="Q28" i="45"/>
  <c r="D10" i="44" s="1"/>
  <c r="R28" i="45"/>
  <c r="E10" i="44" s="1"/>
  <c r="Q25" i="45"/>
  <c r="D7" i="44" s="1"/>
  <c r="Q23" i="45"/>
  <c r="D5" i="44" s="1"/>
  <c r="R23" i="45"/>
  <c r="E5" i="44" s="1"/>
  <c r="O23" i="45"/>
  <c r="B5" i="44" s="1"/>
  <c r="Q106" i="45"/>
  <c r="AI13" i="44" s="1"/>
  <c r="R106" i="45"/>
  <c r="AJ13" i="44" s="1"/>
  <c r="P106" i="45"/>
  <c r="AH13" i="44" s="1"/>
  <c r="R105" i="45"/>
  <c r="AJ12" i="44" s="1"/>
  <c r="Q105" i="45"/>
  <c r="AI12" i="44" s="1"/>
  <c r="Q17" i="45"/>
  <c r="Y12" i="45"/>
  <c r="R102" i="45"/>
  <c r="AJ9" i="44" s="1"/>
  <c r="Q102" i="45"/>
  <c r="AI9" i="44" s="1"/>
  <c r="P102" i="45"/>
  <c r="AH9" i="44" s="1"/>
  <c r="O102" i="45"/>
  <c r="AG9" i="44" s="1"/>
  <c r="Q101" i="45"/>
  <c r="AI8" i="44" s="1"/>
  <c r="R101" i="45"/>
  <c r="AJ8" i="44" s="1"/>
  <c r="P101" i="45"/>
  <c r="AH8" i="44" s="1"/>
  <c r="D100" i="45"/>
  <c r="I100" i="45" s="1"/>
  <c r="F100" i="45"/>
  <c r="K100" i="45" s="1"/>
  <c r="E100" i="45"/>
  <c r="J100" i="45" s="1"/>
  <c r="G100" i="45"/>
  <c r="L100" i="45" s="1"/>
  <c r="R98" i="45"/>
  <c r="AJ5" i="44" s="1"/>
  <c r="Q98" i="45"/>
  <c r="AI5" i="44" s="1"/>
  <c r="O98" i="45"/>
  <c r="AG5" i="44" s="1"/>
  <c r="E97" i="45"/>
  <c r="J97" i="45" s="1"/>
  <c r="G97" i="45"/>
  <c r="L97" i="45" s="1"/>
  <c r="F97" i="45"/>
  <c r="K97" i="45" s="1"/>
  <c r="D97" i="45"/>
  <c r="I97" i="45" s="1"/>
  <c r="X14" i="45"/>
  <c r="P17" i="45"/>
  <c r="O89" i="45"/>
  <c r="AA11" i="44" s="1"/>
  <c r="R89" i="45"/>
  <c r="AD11" i="44" s="1"/>
  <c r="Q89" i="45"/>
  <c r="AC11" i="44" s="1"/>
  <c r="P89" i="45"/>
  <c r="AB11" i="44" s="1"/>
  <c r="Q88" i="45"/>
  <c r="AC10" i="44" s="1"/>
  <c r="R88" i="45"/>
  <c r="AD10" i="44" s="1"/>
  <c r="I40" i="2"/>
  <c r="Q87" i="45"/>
  <c r="AC9" i="44" s="1"/>
  <c r="R87" i="45"/>
  <c r="AD9" i="44" s="1"/>
  <c r="O87" i="45"/>
  <c r="AA9" i="44" s="1"/>
  <c r="P87" i="45"/>
  <c r="AB9" i="44" s="1"/>
  <c r="E86" i="45"/>
  <c r="J86" i="45" s="1"/>
  <c r="F86" i="45"/>
  <c r="K86" i="45" s="1"/>
  <c r="G86" i="45"/>
  <c r="L86" i="45" s="1"/>
  <c r="D86" i="45"/>
  <c r="I86" i="45" s="1"/>
  <c r="E85" i="45"/>
  <c r="J85" i="45" s="1"/>
  <c r="F85" i="45"/>
  <c r="K85" i="45" s="1"/>
  <c r="G85" i="45"/>
  <c r="L85" i="45" s="1"/>
  <c r="D85" i="45"/>
  <c r="I85" i="45" s="1"/>
  <c r="R84" i="45"/>
  <c r="AD6" i="44" s="1"/>
  <c r="Q84" i="45"/>
  <c r="AC6" i="44" s="1"/>
  <c r="P84" i="45"/>
  <c r="AB6" i="44" s="1"/>
  <c r="P83" i="45"/>
  <c r="AB5" i="44" s="1"/>
  <c r="Q83" i="45"/>
  <c r="AC5" i="44" s="1"/>
  <c r="R83" i="45"/>
  <c r="AD5" i="44" s="1"/>
  <c r="G82" i="45"/>
  <c r="L82" i="45" s="1"/>
  <c r="F82" i="45"/>
  <c r="K82" i="45" s="1"/>
  <c r="E82" i="45"/>
  <c r="J82" i="45" s="1"/>
  <c r="D82" i="45"/>
  <c r="I82" i="45" s="1"/>
  <c r="R76" i="45"/>
  <c r="X13" i="44" s="1"/>
  <c r="Q76" i="45"/>
  <c r="W13" i="44" s="1"/>
  <c r="P76" i="45"/>
  <c r="V13" i="44" s="1"/>
  <c r="O76" i="45"/>
  <c r="U13" i="44" s="1"/>
  <c r="R75" i="45"/>
  <c r="X12" i="44" s="1"/>
  <c r="Q75" i="45"/>
  <c r="W12" i="44" s="1"/>
  <c r="P73" i="45"/>
  <c r="V10" i="44" s="1"/>
  <c r="R73" i="45"/>
  <c r="X10" i="44" s="1"/>
  <c r="Q73" i="45"/>
  <c r="W10" i="44" s="1"/>
  <c r="R72" i="45"/>
  <c r="X9" i="44" s="1"/>
  <c r="Q72" i="45"/>
  <c r="W9" i="44" s="1"/>
  <c r="R71" i="45"/>
  <c r="X8" i="44" s="1"/>
  <c r="Q71" i="45"/>
  <c r="W8" i="44" s="1"/>
  <c r="Q70" i="45"/>
  <c r="W7" i="44" s="1"/>
  <c r="R70" i="45"/>
  <c r="X7" i="44" s="1"/>
  <c r="P70" i="45"/>
  <c r="V7" i="44" s="1"/>
  <c r="O68" i="45"/>
  <c r="U5" i="44" s="1"/>
  <c r="R68" i="45"/>
  <c r="X5" i="44" s="1"/>
  <c r="Q68" i="45"/>
  <c r="W5" i="44" s="1"/>
  <c r="G67" i="45"/>
  <c r="L67" i="45" s="1"/>
  <c r="D67" i="45"/>
  <c r="I67" i="45" s="1"/>
  <c r="E67" i="45"/>
  <c r="J67" i="45" s="1"/>
  <c r="F67" i="45"/>
  <c r="K67" i="45" s="1"/>
  <c r="O61" i="45"/>
  <c r="O13" i="44" s="1"/>
  <c r="Q61" i="45"/>
  <c r="Q13" i="44" s="1"/>
  <c r="F60" i="45"/>
  <c r="K60" i="45" s="1"/>
  <c r="D60" i="45"/>
  <c r="I60" i="45" s="1"/>
  <c r="E60" i="45"/>
  <c r="J60" i="45" s="1"/>
  <c r="G60" i="45"/>
  <c r="L60" i="45" s="1"/>
  <c r="E59" i="45"/>
  <c r="J59" i="45" s="1"/>
  <c r="D59" i="45"/>
  <c r="I59" i="45" s="1"/>
  <c r="F59" i="45"/>
  <c r="K59" i="45" s="1"/>
  <c r="G59" i="45"/>
  <c r="L59" i="45" s="1"/>
  <c r="R58" i="45"/>
  <c r="R10" i="44" s="1"/>
  <c r="D55" i="45"/>
  <c r="I55" i="45" s="1"/>
  <c r="F55" i="45"/>
  <c r="K55" i="45" s="1"/>
  <c r="E55" i="45"/>
  <c r="J55" i="45" s="1"/>
  <c r="G55" i="45"/>
  <c r="L55" i="45" s="1"/>
  <c r="I4" i="39"/>
  <c r="P54" i="45"/>
  <c r="P6" i="44" s="1"/>
  <c r="R54" i="45"/>
  <c r="R6" i="44" s="1"/>
  <c r="Q54" i="45"/>
  <c r="Q6" i="44" s="1"/>
  <c r="R53" i="45"/>
  <c r="R5" i="44" s="1"/>
  <c r="F52" i="45"/>
  <c r="K52" i="45" s="1"/>
  <c r="D52" i="45"/>
  <c r="I52" i="45" s="1"/>
  <c r="E52" i="45"/>
  <c r="J52" i="45" s="1"/>
  <c r="G52" i="45"/>
  <c r="L52" i="45" s="1"/>
  <c r="D46" i="45"/>
  <c r="I46" i="45" s="1"/>
  <c r="E46" i="45"/>
  <c r="J46" i="45" s="1"/>
  <c r="G46" i="45"/>
  <c r="L46" i="45" s="1"/>
  <c r="F46" i="45"/>
  <c r="K46" i="45" s="1"/>
  <c r="P42" i="45"/>
  <c r="I9" i="44" s="1"/>
  <c r="R42" i="45"/>
  <c r="K9" i="44" s="1"/>
  <c r="Q42" i="45"/>
  <c r="J9" i="44" s="1"/>
  <c r="R41" i="45"/>
  <c r="K8" i="44" s="1"/>
  <c r="Q41" i="45"/>
  <c r="J8" i="44" s="1"/>
  <c r="D40" i="45"/>
  <c r="I40" i="45" s="1"/>
  <c r="G40" i="45"/>
  <c r="L40" i="45" s="1"/>
  <c r="E40" i="45"/>
  <c r="J40" i="45" s="1"/>
  <c r="F40" i="45"/>
  <c r="K40" i="45" s="1"/>
  <c r="Q39" i="45"/>
  <c r="J6" i="44" s="1"/>
  <c r="R39" i="45"/>
  <c r="K6" i="44" s="1"/>
  <c r="E38" i="45"/>
  <c r="J38" i="45" s="1"/>
  <c r="D38" i="45"/>
  <c r="I38" i="45" s="1"/>
  <c r="G38" i="45"/>
  <c r="L38" i="45" s="1"/>
  <c r="F38" i="45"/>
  <c r="K38" i="45" s="1"/>
  <c r="E27" i="45"/>
  <c r="J27" i="45" s="1"/>
  <c r="G27" i="45"/>
  <c r="L27" i="45" s="1"/>
  <c r="F27" i="45"/>
  <c r="K27" i="45" s="1"/>
  <c r="D27" i="45"/>
  <c r="I27" i="45" s="1"/>
  <c r="E26" i="45"/>
  <c r="J26" i="45" s="1"/>
  <c r="F26" i="45"/>
  <c r="K26" i="45" s="1"/>
  <c r="G26" i="45"/>
  <c r="L26" i="45" s="1"/>
  <c r="D26" i="45"/>
  <c r="I26" i="45" s="1"/>
  <c r="F24" i="45"/>
  <c r="K24" i="45" s="1"/>
  <c r="G24" i="45"/>
  <c r="L24" i="45" s="1"/>
  <c r="D24" i="45"/>
  <c r="I24" i="45" s="1"/>
  <c r="E24" i="45"/>
  <c r="J24" i="45" s="1"/>
  <c r="Q16" i="2"/>
  <c r="B3" i="39"/>
  <c r="G22" i="45"/>
  <c r="L22" i="45" s="1"/>
  <c r="E22" i="45"/>
  <c r="J22" i="45" s="1"/>
  <c r="F22" i="45"/>
  <c r="K22" i="45" s="1"/>
  <c r="D22" i="45"/>
  <c r="I22" i="45" s="1"/>
  <c r="H3" i="53"/>
  <c r="B7" i="53"/>
  <c r="H7" i="53" s="1"/>
  <c r="E6" i="35"/>
  <c r="H6" i="35" s="1"/>
  <c r="E19" i="35"/>
  <c r="E19" i="39" s="1"/>
  <c r="C9" i="36"/>
  <c r="R45" i="45" l="1"/>
  <c r="K12" i="44" s="1"/>
  <c r="F16" i="35"/>
  <c r="F19" i="35" s="1"/>
  <c r="F19" i="39" s="1"/>
  <c r="D16" i="35"/>
  <c r="D19" i="35" s="1"/>
  <c r="D19" i="39" s="1"/>
  <c r="P53" i="45"/>
  <c r="P5" i="44" s="1"/>
  <c r="P71" i="45"/>
  <c r="V8" i="44" s="1"/>
  <c r="C5" i="35"/>
  <c r="B10" i="26"/>
  <c r="H22" i="44"/>
  <c r="H24" i="44"/>
  <c r="H23" i="44"/>
  <c r="D5" i="35"/>
  <c r="F5" i="35"/>
  <c r="C8" i="35"/>
  <c r="C18" i="39" s="1"/>
  <c r="C20" i="39" s="1"/>
  <c r="G5" i="35"/>
  <c r="B8" i="35"/>
  <c r="B18" i="39" s="1"/>
  <c r="G8" i="35"/>
  <c r="G18" i="39" s="1"/>
  <c r="G20" i="39" s="1"/>
  <c r="F8" i="35"/>
  <c r="F18" i="39" s="1"/>
  <c r="F20" i="39" s="1"/>
  <c r="E5" i="35"/>
  <c r="B5" i="35"/>
  <c r="D8" i="35"/>
  <c r="D18" i="39" s="1"/>
  <c r="D20" i="39" s="1"/>
  <c r="O53" i="45"/>
  <c r="O5" i="44" s="1"/>
  <c r="O88" i="45"/>
  <c r="AA10" i="44" s="1"/>
  <c r="AE10" i="44" s="1"/>
  <c r="B36" i="39"/>
  <c r="C30" i="39" s="1"/>
  <c r="E30" i="39" s="1"/>
  <c r="Y6" i="44"/>
  <c r="O99" i="45"/>
  <c r="AG6" i="44" s="1"/>
  <c r="AK11" i="44"/>
  <c r="Q43" i="45"/>
  <c r="J10" i="44" s="1"/>
  <c r="Q56" i="45"/>
  <c r="Q8" i="44" s="1"/>
  <c r="O58" i="45"/>
  <c r="O10" i="44" s="1"/>
  <c r="O40" i="45"/>
  <c r="H7" i="44" s="1"/>
  <c r="AK12" i="44"/>
  <c r="Q99" i="45"/>
  <c r="AI6" i="44" s="1"/>
  <c r="AK5" i="44"/>
  <c r="Y7" i="44"/>
  <c r="L11" i="44"/>
  <c r="O38" i="45"/>
  <c r="H5" i="44" s="1"/>
  <c r="F37" i="45"/>
  <c r="K37" i="45" s="1"/>
  <c r="P37" i="45" s="1"/>
  <c r="P27" i="45"/>
  <c r="C9" i="44" s="1"/>
  <c r="AP9" i="44" s="1"/>
  <c r="Q91" i="45"/>
  <c r="AC13" i="44" s="1"/>
  <c r="L6" i="44"/>
  <c r="P99" i="45"/>
  <c r="AH6" i="44" s="1"/>
  <c r="O91" i="45"/>
  <c r="AA13" i="44" s="1"/>
  <c r="P85" i="45"/>
  <c r="AB7" i="44" s="1"/>
  <c r="Y12" i="44"/>
  <c r="P60" i="45"/>
  <c r="P12" i="44" s="1"/>
  <c r="O45" i="45"/>
  <c r="H12" i="44" s="1"/>
  <c r="L12" i="44" s="1"/>
  <c r="I3" i="39"/>
  <c r="O97" i="45"/>
  <c r="AG4" i="44" s="1"/>
  <c r="P59" i="45"/>
  <c r="P11" i="44" s="1"/>
  <c r="AK13" i="44"/>
  <c r="O100" i="45"/>
  <c r="AG7" i="44" s="1"/>
  <c r="AE9" i="44"/>
  <c r="Y9" i="44"/>
  <c r="P58" i="45"/>
  <c r="P10" i="44" s="1"/>
  <c r="R56" i="45"/>
  <c r="R8" i="44" s="1"/>
  <c r="O43" i="45"/>
  <c r="H10" i="44" s="1"/>
  <c r="P40" i="45"/>
  <c r="I7" i="44" s="1"/>
  <c r="G37" i="45"/>
  <c r="L37" i="45" s="1"/>
  <c r="F7" i="44"/>
  <c r="H16" i="35"/>
  <c r="Y11" i="44"/>
  <c r="Y8" i="44"/>
  <c r="P67" i="45"/>
  <c r="P78" i="45" s="1"/>
  <c r="S9" i="44"/>
  <c r="S6" i="44"/>
  <c r="O52" i="45"/>
  <c r="O4" i="44" s="1"/>
  <c r="O46" i="45"/>
  <c r="H13" i="44" s="1"/>
  <c r="F10" i="44"/>
  <c r="O24" i="45"/>
  <c r="B6" i="44" s="1"/>
  <c r="O29" i="45"/>
  <c r="B11" i="44" s="1"/>
  <c r="O26" i="45"/>
  <c r="B8" i="44" s="1"/>
  <c r="AK9" i="44"/>
  <c r="AK8" i="44"/>
  <c r="P91" i="45"/>
  <c r="AB13" i="44" s="1"/>
  <c r="Y10" i="44"/>
  <c r="O60" i="45"/>
  <c r="O12" i="44" s="1"/>
  <c r="P52" i="45"/>
  <c r="P4" i="44" s="1"/>
  <c r="F13" i="44"/>
  <c r="O22" i="45"/>
  <c r="B4" i="44" s="1"/>
  <c r="P82" i="45"/>
  <c r="AB4" i="44" s="1"/>
  <c r="L8" i="44"/>
  <c r="P97" i="45"/>
  <c r="AH4" i="44" s="1"/>
  <c r="P86" i="45"/>
  <c r="AB8" i="44" s="1"/>
  <c r="AE6" i="44"/>
  <c r="AE5" i="44"/>
  <c r="O82" i="45"/>
  <c r="AA4" i="44" s="1"/>
  <c r="Y13" i="44"/>
  <c r="S13" i="44"/>
  <c r="O59" i="45"/>
  <c r="O11" i="44" s="1"/>
  <c r="O55" i="45"/>
  <c r="O7" i="44" s="1"/>
  <c r="P55" i="45"/>
  <c r="P7" i="44" s="1"/>
  <c r="L9" i="44"/>
  <c r="D37" i="45"/>
  <c r="I37" i="45" s="1"/>
  <c r="O37" i="45" s="1"/>
  <c r="F12" i="44"/>
  <c r="P29" i="45"/>
  <c r="C11" i="44" s="1"/>
  <c r="Q29" i="45"/>
  <c r="D11" i="44" s="1"/>
  <c r="R29" i="45"/>
  <c r="E11" i="44" s="1"/>
  <c r="F5" i="44"/>
  <c r="R17" i="45"/>
  <c r="G103" i="45"/>
  <c r="L103" i="45" s="1"/>
  <c r="E103" i="45"/>
  <c r="J103" i="45" s="1"/>
  <c r="F103" i="45"/>
  <c r="K103" i="45" s="1"/>
  <c r="D103" i="45"/>
  <c r="I103" i="45" s="1"/>
  <c r="R100" i="45"/>
  <c r="AJ7" i="44" s="1"/>
  <c r="Q100" i="45"/>
  <c r="AI7" i="44" s="1"/>
  <c r="P100" i="45"/>
  <c r="AH7" i="44" s="1"/>
  <c r="R97" i="45"/>
  <c r="Q97" i="45"/>
  <c r="F90" i="45"/>
  <c r="K90" i="45" s="1"/>
  <c r="G90" i="45"/>
  <c r="L90" i="45" s="1"/>
  <c r="D90" i="45"/>
  <c r="I90" i="45" s="1"/>
  <c r="E90" i="45"/>
  <c r="J90" i="45" s="1"/>
  <c r="AE11" i="44"/>
  <c r="Q86" i="45"/>
  <c r="AC8" i="44" s="1"/>
  <c r="R86" i="45"/>
  <c r="AD8" i="44" s="1"/>
  <c r="O86" i="45"/>
  <c r="AA8" i="44" s="1"/>
  <c r="R85" i="45"/>
  <c r="AD7" i="44" s="1"/>
  <c r="Q85" i="45"/>
  <c r="AC7" i="44" s="1"/>
  <c r="O85" i="45"/>
  <c r="AA7" i="44" s="1"/>
  <c r="R82" i="45"/>
  <c r="Q82" i="45"/>
  <c r="Y5" i="44"/>
  <c r="Q67" i="45"/>
  <c r="R67" i="45"/>
  <c r="O67" i="45"/>
  <c r="R60" i="45"/>
  <c r="R12" i="44" s="1"/>
  <c r="Q60" i="45"/>
  <c r="Q12" i="44" s="1"/>
  <c r="Q59" i="45"/>
  <c r="Q11" i="44" s="1"/>
  <c r="R59" i="45"/>
  <c r="R11" i="44" s="1"/>
  <c r="R55" i="45"/>
  <c r="R7" i="44" s="1"/>
  <c r="Q55" i="45"/>
  <c r="Q7" i="44" s="1"/>
  <c r="R52" i="45"/>
  <c r="Q52" i="45"/>
  <c r="P46" i="45"/>
  <c r="I13" i="44" s="1"/>
  <c r="R46" i="45"/>
  <c r="K13" i="44" s="1"/>
  <c r="AR13" i="44" s="1"/>
  <c r="Q46" i="45"/>
  <c r="J13" i="44" s="1"/>
  <c r="R40" i="45"/>
  <c r="K7" i="44" s="1"/>
  <c r="Q40" i="45"/>
  <c r="J7" i="44" s="1"/>
  <c r="P38" i="45"/>
  <c r="I5" i="44" s="1"/>
  <c r="R38" i="45"/>
  <c r="K5" i="44" s="1"/>
  <c r="AR5" i="44" s="1"/>
  <c r="Q38" i="45"/>
  <c r="J5" i="44" s="1"/>
  <c r="AQ5" i="44" s="1"/>
  <c r="R27" i="45"/>
  <c r="E9" i="44" s="1"/>
  <c r="AR9" i="44" s="1"/>
  <c r="Q27" i="45"/>
  <c r="D9" i="44" s="1"/>
  <c r="AQ9" i="44" s="1"/>
  <c r="O27" i="45"/>
  <c r="B9" i="44" s="1"/>
  <c r="Q26" i="45"/>
  <c r="D8" i="44" s="1"/>
  <c r="R26" i="45"/>
  <c r="E8" i="44" s="1"/>
  <c r="P26" i="45"/>
  <c r="C8" i="44" s="1"/>
  <c r="Q24" i="45"/>
  <c r="D6" i="44" s="1"/>
  <c r="R24" i="45"/>
  <c r="E6" i="44" s="1"/>
  <c r="AR6" i="44" s="1"/>
  <c r="P24" i="45"/>
  <c r="C6" i="44" s="1"/>
  <c r="Q22" i="45"/>
  <c r="R22" i="45"/>
  <c r="P22" i="45"/>
  <c r="E20" i="39"/>
  <c r="B8" i="26"/>
  <c r="B10" i="39"/>
  <c r="N9" i="36"/>
  <c r="H19" i="35"/>
  <c r="B19" i="39"/>
  <c r="I19" i="39" s="1"/>
  <c r="AO5" i="44" l="1"/>
  <c r="S5" i="44"/>
  <c r="AP5" i="44"/>
  <c r="H8" i="35"/>
  <c r="H5" i="35"/>
  <c r="AO6" i="44"/>
  <c r="S8" i="44"/>
  <c r="D30" i="39"/>
  <c r="F30" i="39" s="1"/>
  <c r="P90" i="45"/>
  <c r="AB12" i="44" s="1"/>
  <c r="AP12" i="44" s="1"/>
  <c r="C33" i="39"/>
  <c r="C35" i="39"/>
  <c r="C32" i="39"/>
  <c r="C31" i="39"/>
  <c r="C34" i="39"/>
  <c r="S10" i="44"/>
  <c r="L10" i="44"/>
  <c r="AQ13" i="44"/>
  <c r="AQ6" i="44"/>
  <c r="AE13" i="44"/>
  <c r="AO11" i="44"/>
  <c r="AK6" i="44"/>
  <c r="Q37" i="45"/>
  <c r="J4" i="44" s="1"/>
  <c r="J15" i="44" s="1"/>
  <c r="AO13" i="44"/>
  <c r="AP6" i="44"/>
  <c r="S7" i="44"/>
  <c r="R37" i="45"/>
  <c r="K4" i="44" s="1"/>
  <c r="K15" i="44" s="1"/>
  <c r="AP11" i="44"/>
  <c r="O103" i="45"/>
  <c r="AG10" i="44" s="1"/>
  <c r="AO10" i="44" s="1"/>
  <c r="AR7" i="44"/>
  <c r="V4" i="44"/>
  <c r="V15" i="44" s="1"/>
  <c r="P15" i="44"/>
  <c r="AK7" i="44"/>
  <c r="AP8" i="44"/>
  <c r="F11" i="44"/>
  <c r="AO8" i="44"/>
  <c r="O33" i="45"/>
  <c r="AQ7" i="44"/>
  <c r="AP7" i="44"/>
  <c r="AP13" i="44"/>
  <c r="O90" i="45"/>
  <c r="AA12" i="44" s="1"/>
  <c r="AO12" i="44" s="1"/>
  <c r="S12" i="44"/>
  <c r="P63" i="45"/>
  <c r="O63" i="45"/>
  <c r="O48" i="45"/>
  <c r="H4" i="44"/>
  <c r="H15" i="44" s="1"/>
  <c r="AQ11" i="44"/>
  <c r="AR11" i="44"/>
  <c r="Q103" i="45"/>
  <c r="AI10" i="44" s="1"/>
  <c r="AQ10" i="44" s="1"/>
  <c r="R103" i="45"/>
  <c r="AJ10" i="44" s="1"/>
  <c r="AR10" i="44" s="1"/>
  <c r="P103" i="45"/>
  <c r="AJ4" i="44"/>
  <c r="AI4" i="44"/>
  <c r="Q90" i="45"/>
  <c r="AC12" i="44" s="1"/>
  <c r="R90" i="45"/>
  <c r="AD12" i="44" s="1"/>
  <c r="AR12" i="44" s="1"/>
  <c r="AR8" i="44"/>
  <c r="AQ8" i="44"/>
  <c r="AE8" i="44"/>
  <c r="AE7" i="44"/>
  <c r="AO7" i="44"/>
  <c r="AD4" i="44"/>
  <c r="AC4" i="44"/>
  <c r="O78" i="45"/>
  <c r="U4" i="44"/>
  <c r="Q78" i="45"/>
  <c r="W4" i="44"/>
  <c r="W15" i="44" s="1"/>
  <c r="R78" i="45"/>
  <c r="X4" i="44"/>
  <c r="X15" i="44" s="1"/>
  <c r="S11" i="44"/>
  <c r="R4" i="44"/>
  <c r="R15" i="44" s="1"/>
  <c r="R63" i="45"/>
  <c r="O15" i="44"/>
  <c r="Q4" i="44"/>
  <c r="Q15" i="44" s="1"/>
  <c r="Q63" i="45"/>
  <c r="L13" i="44"/>
  <c r="L7" i="44"/>
  <c r="L5" i="44"/>
  <c r="P48" i="45"/>
  <c r="I4" i="44"/>
  <c r="I15" i="44" s="1"/>
  <c r="AO9" i="44"/>
  <c r="F9" i="44"/>
  <c r="F8" i="44"/>
  <c r="F6" i="44"/>
  <c r="C4" i="44"/>
  <c r="P33" i="45"/>
  <c r="B15" i="44"/>
  <c r="E4" i="44"/>
  <c r="R33" i="45"/>
  <c r="Q33" i="45"/>
  <c r="D4" i="44"/>
  <c r="I10" i="39"/>
  <c r="B20" i="39"/>
  <c r="I18" i="39"/>
  <c r="D31" i="39" l="1"/>
  <c r="E31" i="39"/>
  <c r="D35" i="39"/>
  <c r="E35" i="39"/>
  <c r="F35" i="39" s="1"/>
  <c r="D33" i="39"/>
  <c r="E33" i="39"/>
  <c r="D34" i="39"/>
  <c r="E34" i="39"/>
  <c r="D32" i="39"/>
  <c r="E32" i="39"/>
  <c r="AB15" i="44"/>
  <c r="P93" i="45"/>
  <c r="R48" i="45"/>
  <c r="C36" i="39"/>
  <c r="AA15" i="44"/>
  <c r="Q48" i="45"/>
  <c r="O93" i="45"/>
  <c r="AO4" i="44"/>
  <c r="AO15" i="44" s="1"/>
  <c r="F4" i="44"/>
  <c r="AI15" i="44"/>
  <c r="AG15" i="44"/>
  <c r="O108" i="45"/>
  <c r="AE12" i="44"/>
  <c r="AS12" i="44" s="1"/>
  <c r="AC15" i="44"/>
  <c r="AQ12" i="44"/>
  <c r="Q93" i="45"/>
  <c r="AJ15" i="44"/>
  <c r="Q108" i="45"/>
  <c r="L4" i="44"/>
  <c r="L15" i="44" s="1"/>
  <c r="AH10" i="44"/>
  <c r="P108" i="45"/>
  <c r="R108" i="45"/>
  <c r="AK4" i="44"/>
  <c r="AD15" i="44"/>
  <c r="R93" i="45"/>
  <c r="AE4" i="44"/>
  <c r="U15" i="44"/>
  <c r="Y4" i="44"/>
  <c r="AT11" i="44"/>
  <c r="AS11" i="44"/>
  <c r="S4" i="44"/>
  <c r="S15" i="44" s="1"/>
  <c r="AT13" i="44"/>
  <c r="AS13" i="44"/>
  <c r="AS7" i="44"/>
  <c r="AT7" i="44"/>
  <c r="AS5" i="44"/>
  <c r="AT5" i="44"/>
  <c r="AT9" i="44"/>
  <c r="AS9" i="44"/>
  <c r="AT8" i="44"/>
  <c r="AS8" i="44"/>
  <c r="AT6" i="44"/>
  <c r="AS6" i="44"/>
  <c r="D15" i="44"/>
  <c r="AQ4" i="44"/>
  <c r="AR4" i="44"/>
  <c r="AR15" i="44" s="1"/>
  <c r="E15" i="44"/>
  <c r="C15" i="44"/>
  <c r="AP4" i="44"/>
  <c r="I20" i="39"/>
  <c r="F34" i="39" l="1"/>
  <c r="D36" i="39"/>
  <c r="F33" i="39"/>
  <c r="E36" i="39"/>
  <c r="F32" i="39"/>
  <c r="F31" i="39"/>
  <c r="Y15" i="44"/>
  <c r="AT4" i="44"/>
  <c r="F15" i="44"/>
  <c r="AT12" i="44"/>
  <c r="AE15" i="44"/>
  <c r="AQ15" i="44"/>
  <c r="AP10" i="44"/>
  <c r="AP15" i="44" s="1"/>
  <c r="AK10" i="44"/>
  <c r="AH15" i="44"/>
  <c r="AS4" i="44"/>
  <c r="F36" i="39" l="1"/>
  <c r="E23" i="44"/>
  <c r="E28" i="44" s="1"/>
  <c r="E30" i="44" s="1"/>
  <c r="L23" i="44" s="1"/>
  <c r="AS10" i="44"/>
  <c r="AS15" i="44" s="1"/>
  <c r="AT10" i="44"/>
  <c r="AT15" i="44" s="1"/>
  <c r="AK15" i="44"/>
  <c r="L22" i="44" l="1"/>
  <c r="O22" i="44" s="1"/>
  <c r="L21" i="44"/>
  <c r="L24" i="44"/>
  <c r="O24" i="44" s="1"/>
  <c r="E25" i="44"/>
  <c r="E21" i="44"/>
  <c r="R23" i="44"/>
  <c r="P23" i="44"/>
  <c r="Q23" i="44"/>
  <c r="O23" i="44"/>
  <c r="Q21" i="44" l="1"/>
  <c r="O21" i="44"/>
  <c r="Z4" i="44" s="1"/>
  <c r="Q22" i="44"/>
  <c r="P22" i="44"/>
  <c r="R22" i="44"/>
  <c r="P21" i="44"/>
  <c r="R21" i="44"/>
  <c r="P24" i="44"/>
  <c r="R24" i="44"/>
  <c r="Q24" i="44"/>
  <c r="B9" i="26"/>
  <c r="B11" i="26" s="1"/>
  <c r="B13" i="26" s="1"/>
  <c r="B14" i="26" s="1"/>
  <c r="B17" i="26" s="1"/>
  <c r="B78" i="26" s="1"/>
  <c r="AF4" i="44" l="1"/>
  <c r="Z9" i="44"/>
  <c r="Z5" i="44"/>
  <c r="B42" i="44"/>
  <c r="Z6" i="44"/>
  <c r="G4" i="44"/>
  <c r="T11" i="44"/>
  <c r="G9" i="44"/>
  <c r="AF11" i="44"/>
  <c r="M11" i="44"/>
  <c r="AF13" i="44"/>
  <c r="AF12" i="44"/>
  <c r="M9" i="44"/>
  <c r="M6" i="44"/>
  <c r="Z13" i="44"/>
  <c r="M13" i="44"/>
  <c r="AL10" i="44"/>
  <c r="AL13" i="44"/>
  <c r="M12" i="44"/>
  <c r="AF9" i="44"/>
  <c r="T6" i="44"/>
  <c r="AF10" i="44"/>
  <c r="AL6" i="44"/>
  <c r="AL5" i="44"/>
  <c r="T4" i="44"/>
  <c r="T5" i="44"/>
  <c r="AF7" i="44"/>
  <c r="T8" i="44"/>
  <c r="T13" i="44"/>
  <c r="AL8" i="44"/>
  <c r="T9" i="44"/>
  <c r="M4" i="44"/>
  <c r="AL12" i="44"/>
  <c r="T7" i="44"/>
  <c r="AF6" i="44"/>
  <c r="T12" i="44"/>
  <c r="M5" i="44"/>
  <c r="AF5" i="44"/>
  <c r="AL11" i="44"/>
  <c r="AL7" i="44"/>
  <c r="AL4" i="44"/>
  <c r="AF8" i="44"/>
  <c r="G5" i="44"/>
  <c r="M8" i="44"/>
  <c r="AL9" i="44"/>
  <c r="Z11" i="44"/>
  <c r="Z8" i="44"/>
  <c r="Z10" i="44"/>
  <c r="Z12" i="44"/>
  <c r="Z7" i="44"/>
  <c r="G13" i="44"/>
  <c r="T10" i="44"/>
  <c r="G6" i="44"/>
  <c r="G8" i="44"/>
  <c r="G10" i="44"/>
  <c r="M10" i="44"/>
  <c r="M7" i="44"/>
  <c r="G11" i="44"/>
  <c r="G12" i="44"/>
  <c r="G7" i="44"/>
  <c r="D75" i="26"/>
  <c r="H9" i="53"/>
  <c r="G9" i="53" s="1"/>
  <c r="G11" i="39" s="1"/>
  <c r="AX8" i="44" l="1"/>
  <c r="AX13" i="44"/>
  <c r="AX6" i="44"/>
  <c r="AX9" i="44"/>
  <c r="AF15" i="44"/>
  <c r="F12" i="39" s="1"/>
  <c r="AX11" i="44"/>
  <c r="AX4" i="44"/>
  <c r="AX5" i="44"/>
  <c r="T15" i="44"/>
  <c r="D12" i="39" s="1"/>
  <c r="AL15" i="44"/>
  <c r="G12" i="39" s="1"/>
  <c r="G13" i="39" s="1"/>
  <c r="G15" i="39" s="1"/>
  <c r="G16" i="39" s="1"/>
  <c r="Z15" i="44"/>
  <c r="E12" i="39" s="1"/>
  <c r="AX7" i="44"/>
  <c r="M15" i="44"/>
  <c r="C12" i="39" s="1"/>
  <c r="B9" i="53"/>
  <c r="B11" i="39" s="1"/>
  <c r="C9" i="53"/>
  <c r="C11" i="39" s="1"/>
  <c r="G15" i="44"/>
  <c r="B12" i="39" s="1"/>
  <c r="AX10" i="44"/>
  <c r="AX12" i="44"/>
  <c r="D9" i="53"/>
  <c r="D11" i="39" s="1"/>
  <c r="E9" i="53"/>
  <c r="E11" i="39" s="1"/>
  <c r="F9" i="53"/>
  <c r="F11" i="39" s="1"/>
  <c r="E13" i="39" l="1"/>
  <c r="E24" i="39" s="1"/>
  <c r="D13" i="39"/>
  <c r="D22" i="39" s="1"/>
  <c r="AX15" i="44"/>
  <c r="C13" i="39"/>
  <c r="C15" i="39" s="1"/>
  <c r="C16" i="39" s="1"/>
  <c r="F13" i="39"/>
  <c r="F15" i="39" s="1"/>
  <c r="F16" i="39" s="1"/>
  <c r="G22" i="39"/>
  <c r="G24" i="39"/>
  <c r="B13" i="39"/>
  <c r="B15" i="39" s="1"/>
  <c r="B16" i="39" s="1"/>
  <c r="I11" i="39"/>
  <c r="I12" i="39"/>
  <c r="D15" i="39" l="1"/>
  <c r="D16" i="39" s="1"/>
  <c r="E22" i="39"/>
  <c r="F24" i="39"/>
  <c r="E15" i="39"/>
  <c r="E16" i="39" s="1"/>
  <c r="D24" i="39"/>
  <c r="C22" i="39"/>
  <c r="I13" i="39"/>
  <c r="I24" i="39" s="1"/>
  <c r="F22" i="39"/>
  <c r="C24" i="39"/>
  <c r="B22" i="39"/>
  <c r="B24" i="39"/>
  <c r="I16" i="39" l="1"/>
  <c r="I15" i="39"/>
  <c r="I22" i="39"/>
</calcChain>
</file>

<file path=xl/sharedStrings.xml><?xml version="1.0" encoding="utf-8"?>
<sst xmlns="http://schemas.openxmlformats.org/spreadsheetml/2006/main" count="788" uniqueCount="373">
  <si>
    <t>SFO</t>
  </si>
  <si>
    <t>BOR</t>
  </si>
  <si>
    <t>FRB</t>
  </si>
  <si>
    <t>HOL</t>
  </si>
  <si>
    <t>PED</t>
  </si>
  <si>
    <t>RVE</t>
  </si>
  <si>
    <t>STL</t>
  </si>
  <si>
    <t>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</si>
  <si>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</si>
  <si>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</si>
  <si>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</si>
  <si>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</si>
  <si>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</si>
  <si>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</si>
  <si>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</si>
  <si>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</si>
  <si>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</si>
  <si>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</si>
  <si>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 alt</t>
  </si>
  <si>
    <t>Grundtildeling</t>
  </si>
  <si>
    <t>Skole</t>
  </si>
  <si>
    <t>Betalingskommune</t>
  </si>
  <si>
    <t>Cpr.-nr.</t>
  </si>
  <si>
    <t>Fornavn</t>
  </si>
  <si>
    <t>Kasper Kusier</t>
  </si>
  <si>
    <t>Caroline W.</t>
  </si>
  <si>
    <t>Simon</t>
  </si>
  <si>
    <t>Katrin Berger</t>
  </si>
  <si>
    <t>Denise Juliane</t>
  </si>
  <si>
    <t>Sorø kommune (20.2)</t>
  </si>
  <si>
    <t>Oliver</t>
  </si>
  <si>
    <t>Betalingsskole</t>
  </si>
  <si>
    <t>Toke</t>
  </si>
  <si>
    <t>Daniel</t>
  </si>
  <si>
    <t>Specialklasser Borgerskolen</t>
  </si>
  <si>
    <t>Sorø kommune</t>
  </si>
  <si>
    <t>Opgørelse over rammebeløb til Undervisning og Pasning til udmyntning til skolerne/SFO-erne</t>
  </si>
  <si>
    <t>Folkeskoler  03.22.01</t>
  </si>
  <si>
    <t xml:space="preserve">Rammebeløb 2007 - oprindelig vedtaget budget </t>
  </si>
  <si>
    <t>Udtaget til andre områder, herunder til dagpengepulje</t>
  </si>
  <si>
    <t>Fra 03.22.02 Fælles udgifter og indtægter tillægges:</t>
  </si>
  <si>
    <t>Pensionspulje - den lukkede gruppe</t>
  </si>
  <si>
    <t>Skolebibliotek (408728 +132600)</t>
  </si>
  <si>
    <t>Uddannelse</t>
  </si>
  <si>
    <t>Øvrige udgifter/indtægter forbliver på 03.22.02</t>
  </si>
  <si>
    <t>I alt tillagt rammen</t>
  </si>
  <si>
    <t>Endelig Rammebeløb til fordeling</t>
  </si>
  <si>
    <t>Skolefritidsordninger 03.22.05</t>
  </si>
  <si>
    <t>Rammebeløb 2007 - oprindelig vedtaget budget</t>
  </si>
  <si>
    <t>Udtaget af rammen til fællesudgifter/indtægter:</t>
  </si>
  <si>
    <t>Søskenderabat</t>
  </si>
  <si>
    <t>Fripladser</t>
  </si>
  <si>
    <t>TR-frikøb</t>
  </si>
  <si>
    <t>Betaling til/fra kommuner netto</t>
  </si>
  <si>
    <t>Centralt placeret i alt</t>
  </si>
  <si>
    <t xml:space="preserve">Justeret til andre områder, herunder til dagpengepulje </t>
  </si>
  <si>
    <t>Rammer i alt</t>
  </si>
  <si>
    <t>9.3.2007 MP</t>
  </si>
  <si>
    <t>Korrigeret 18/3 2007 (Børnehavebørn) MN</t>
  </si>
  <si>
    <t>Pedersborg Skole</t>
  </si>
  <si>
    <t>Holbergskolen</t>
  </si>
  <si>
    <t>Børnehavebørn 105*45.000</t>
  </si>
  <si>
    <t>3-5 årige</t>
  </si>
  <si>
    <t>Elever på skolen</t>
  </si>
  <si>
    <t xml:space="preserve">Rasmus Vagn Petersen </t>
  </si>
  <si>
    <t>Line Rasmussen</t>
  </si>
  <si>
    <t>Stefan Borges Løvendahl</t>
  </si>
  <si>
    <t xml:space="preserve">Ballerup kommune </t>
  </si>
  <si>
    <t>SORØ KOMMUNE</t>
  </si>
  <si>
    <t>AKT 1 - Frederiksberg skole</t>
  </si>
  <si>
    <t>cpr. nr,</t>
  </si>
  <si>
    <t>Oliver maltha</t>
  </si>
  <si>
    <t>Patrick</t>
  </si>
  <si>
    <t>Tobias Hass</t>
  </si>
  <si>
    <t>Tobisa Bülow</t>
  </si>
  <si>
    <t>Nicolai P.Kirkeby</t>
  </si>
  <si>
    <t xml:space="preserve">Morten </t>
  </si>
  <si>
    <t>Amanda A.Lund</t>
  </si>
  <si>
    <t>Trine</t>
  </si>
  <si>
    <t>Lasse Emil</t>
  </si>
  <si>
    <t>Mikkel Glibel Dehn</t>
  </si>
  <si>
    <t>Jonas</t>
  </si>
  <si>
    <t>Tobias Nedergård</t>
  </si>
  <si>
    <t>Marcus Lago</t>
  </si>
  <si>
    <t>Jesper P.Borges</t>
  </si>
  <si>
    <t xml:space="preserve">Steffen Bøgvad </t>
  </si>
  <si>
    <t>Kevin Johan Stahl Andersen</t>
  </si>
  <si>
    <t>Mathias Holmegaard Mogensen</t>
  </si>
  <si>
    <t>Sebastian Joakim Langhoff</t>
  </si>
  <si>
    <t>Amanda V.K.</t>
  </si>
  <si>
    <t>Mikael B.R.</t>
  </si>
  <si>
    <t xml:space="preserve">Mikkel E. </t>
  </si>
  <si>
    <t>Andreas Ege</t>
  </si>
  <si>
    <t>Københavns kommune</t>
  </si>
  <si>
    <t>Josephine Amdi</t>
  </si>
  <si>
    <t xml:space="preserve">Nicole Kjær </t>
  </si>
  <si>
    <t>Sara</t>
  </si>
  <si>
    <t>Patrick Gaarsdal</t>
  </si>
  <si>
    <t>Jannik</t>
  </si>
  <si>
    <t xml:space="preserve">Mathias </t>
  </si>
  <si>
    <t>Amalie</t>
  </si>
  <si>
    <t xml:space="preserve">Simon </t>
  </si>
  <si>
    <t>flyttet fra SLB</t>
  </si>
  <si>
    <t>Oliver Thage</t>
  </si>
  <si>
    <t>STM flyttes til STL</t>
  </si>
  <si>
    <t>Samlet antal børn i specialklasserækker</t>
  </si>
  <si>
    <t>Smilehullet 01.05.09</t>
  </si>
  <si>
    <t>Mikkel</t>
  </si>
  <si>
    <t>Niclas</t>
  </si>
  <si>
    <t xml:space="preserve">Lukas </t>
  </si>
  <si>
    <t>T2</t>
  </si>
  <si>
    <t>Mette Schou</t>
  </si>
  <si>
    <t>T3</t>
  </si>
  <si>
    <t>10. klasseelever i specialklasser afregnes særskilt til Borgerskolen</t>
  </si>
  <si>
    <t>Er nye eller rettede i forhold til sidste beregning</t>
  </si>
  <si>
    <t>Er gået ud i forhold til sidste beregning</t>
  </si>
  <si>
    <t>Forklaring på brug af farver i nedenstående:</t>
  </si>
  <si>
    <t>Ronni</t>
  </si>
  <si>
    <t>Hussain Zaki</t>
  </si>
  <si>
    <t>Sociale kriterier</t>
  </si>
  <si>
    <t>180596-1267</t>
  </si>
  <si>
    <t>220895-2385</t>
  </si>
  <si>
    <t>170896-0957</t>
  </si>
  <si>
    <t>070301-5859</t>
  </si>
  <si>
    <t>Nicolaj Hinge Strømberg</t>
  </si>
  <si>
    <t>280199-0919</t>
  </si>
  <si>
    <t>020197-1519</t>
  </si>
  <si>
    <t>280697-0487</t>
  </si>
  <si>
    <t>250196-1240</t>
  </si>
  <si>
    <t>200696-2176</t>
  </si>
  <si>
    <t>310896-0751</t>
  </si>
  <si>
    <t>081196-1892</t>
  </si>
  <si>
    <t>070495-2074</t>
  </si>
  <si>
    <t>AKT 2 - Frederiksberg skole</t>
  </si>
  <si>
    <t>210897-2109</t>
  </si>
  <si>
    <t>260896-1529</t>
  </si>
  <si>
    <t>140997-1845</t>
  </si>
  <si>
    <t>301196-1001</t>
  </si>
  <si>
    <t>121297-0863</t>
  </si>
  <si>
    <t>Specialklasseelever pr. 23.03.2011</t>
  </si>
  <si>
    <t>130701-7179</t>
  </si>
  <si>
    <t>041099-0822</t>
  </si>
  <si>
    <t>140100-6881</t>
  </si>
  <si>
    <t>300401-7063</t>
  </si>
  <si>
    <t>170499-1076</t>
  </si>
  <si>
    <t>200501-6757</t>
  </si>
  <si>
    <t>261299-1564</t>
  </si>
  <si>
    <t>040901-6707</t>
  </si>
  <si>
    <t>301001-6095</t>
  </si>
  <si>
    <t>050398-0924</t>
  </si>
  <si>
    <t>040394-0824</t>
  </si>
  <si>
    <t>270497-1845</t>
  </si>
  <si>
    <t>070798-1431</t>
  </si>
  <si>
    <t>060697-2415</t>
  </si>
  <si>
    <t>160896-2693</t>
  </si>
  <si>
    <t>T 3</t>
  </si>
  <si>
    <t>040695-1014</t>
  </si>
  <si>
    <t>050396-0192</t>
  </si>
  <si>
    <t>011194-1289</t>
  </si>
  <si>
    <t>020695-0137</t>
  </si>
  <si>
    <t>250994-2741</t>
  </si>
  <si>
    <t>260396-2101</t>
  </si>
  <si>
    <t>140995-2301</t>
  </si>
  <si>
    <t>240995-1239</t>
  </si>
  <si>
    <t>131195-2397</t>
  </si>
  <si>
    <t>171295-1105</t>
  </si>
  <si>
    <t>011195-1683</t>
  </si>
  <si>
    <t>281200-7265</t>
  </si>
  <si>
    <t>060899-1468</t>
  </si>
  <si>
    <t>090898-1715</t>
  </si>
  <si>
    <t>110298-2335</t>
  </si>
  <si>
    <t>290500-6129</t>
  </si>
  <si>
    <t>180301-6603</t>
  </si>
  <si>
    <t>161098-1271</t>
  </si>
  <si>
    <t>SFO-tildeling</t>
  </si>
  <si>
    <t>Nøgletal</t>
  </si>
  <si>
    <t>Klasser</t>
  </si>
  <si>
    <t>SFO-børn</t>
  </si>
  <si>
    <t>Klassetildeling</t>
  </si>
  <si>
    <t>Ung Sorø's andel af ledelsestid</t>
  </si>
  <si>
    <t>Skolekoncerter/musik i tide</t>
  </si>
  <si>
    <t>Brug af digitale billeder i grundskolen</t>
  </si>
  <si>
    <t>Skolernes bidrag til IT-drift</t>
  </si>
  <si>
    <t>Effektivisering generelt</t>
  </si>
  <si>
    <t>Fælles DIT-medarbejdere</t>
  </si>
  <si>
    <t>Til finansiering af regeringsindgreb ved overenskomst</t>
  </si>
  <si>
    <t>Varigt tilskud</t>
  </si>
  <si>
    <t>Fordeling</t>
  </si>
  <si>
    <t>Filtrering af skolernes netværk - drift</t>
  </si>
  <si>
    <t>Beløb der permanent er tillagt/fratrukket rammen:</t>
  </si>
  <si>
    <t>Udmøntning af HK 2011 FTR/MED reduktion</t>
  </si>
  <si>
    <t>Fratrukket:</t>
  </si>
  <si>
    <t>Tillagt:</t>
  </si>
  <si>
    <t>Antal elever</t>
  </si>
  <si>
    <t>Ramme i alt</t>
  </si>
  <si>
    <t>4. klasse</t>
  </si>
  <si>
    <t>5. klasse</t>
  </si>
  <si>
    <t>6. klasse</t>
  </si>
  <si>
    <t>Særligt tilskud til implementering af folkeskolereformen</t>
  </si>
  <si>
    <t>Tilskud til udfasning af 60 års reglen</t>
  </si>
  <si>
    <t>SFO 2 - tildeling</t>
  </si>
  <si>
    <t>Der er tilbageført 200.000 til skolerne til reparation af Ipads</t>
  </si>
  <si>
    <t>Det er sikret, at der ikke bliver betalt dobbelt til Copydan iflg. Jesper Tejstø</t>
  </si>
  <si>
    <t>Dette tilskud er varigt</t>
  </si>
  <si>
    <t>Flyver</t>
  </si>
  <si>
    <t>Sekretær</t>
  </si>
  <si>
    <t>Lederstilling</t>
  </si>
  <si>
    <t>Mindst</t>
  </si>
  <si>
    <t>Elever</t>
  </si>
  <si>
    <t>1. klasse</t>
  </si>
  <si>
    <t>2. klasse</t>
  </si>
  <si>
    <t>3. klasse</t>
  </si>
  <si>
    <t>7. klasse</t>
  </si>
  <si>
    <t>8. klasse</t>
  </si>
  <si>
    <t>9. klasse</t>
  </si>
  <si>
    <t>10. klasse</t>
  </si>
  <si>
    <t>Læringscenter og vejledning</t>
  </si>
  <si>
    <t>Under 200</t>
  </si>
  <si>
    <t>Samlet tildeling SFO'er</t>
  </si>
  <si>
    <t>Skoleårsramme inklusiv SFO-2</t>
  </si>
  <si>
    <t>Samlet tildeling skoledel</t>
  </si>
  <si>
    <t>Total</t>
  </si>
  <si>
    <t>Rammeberegning</t>
  </si>
  <si>
    <t>Total ekskl. Soc. Krit</t>
  </si>
  <si>
    <t>Læringscenter</t>
  </si>
  <si>
    <t>Antal SFO børn</t>
  </si>
  <si>
    <t>Samlet SFO tildeling</t>
  </si>
  <si>
    <t>Stilling</t>
  </si>
  <si>
    <t>Beløb</t>
  </si>
  <si>
    <t>Grundtildeling i alt</t>
  </si>
  <si>
    <t>Samlet tildeling eksklusiv SFO-2</t>
  </si>
  <si>
    <t>Tilskud:</t>
  </si>
  <si>
    <t>SFO-takst</t>
  </si>
  <si>
    <t>Skoleplanlægning</t>
  </si>
  <si>
    <t>Fordeling af basisfunktioner</t>
  </si>
  <si>
    <t>Inkl ekstra DIT-medarbejder</t>
  </si>
  <si>
    <t>SFO-2-takst</t>
  </si>
  <si>
    <t>SFO-2</t>
  </si>
  <si>
    <t>Elever i SFO-2</t>
  </si>
  <si>
    <t>Tildeling SFO-2</t>
  </si>
  <si>
    <t>Løn 92%</t>
  </si>
  <si>
    <t>Aktivitet 8%</t>
  </si>
  <si>
    <t>Fremskrivningsprocent</t>
  </si>
  <si>
    <t>Fremskrivningsbeløb</t>
  </si>
  <si>
    <t>x</t>
  </si>
  <si>
    <t>Fremskrivningsprocent:</t>
  </si>
  <si>
    <t>Løn</t>
  </si>
  <si>
    <t>Aktivitet</t>
  </si>
  <si>
    <t>Fremskrivningstype</t>
  </si>
  <si>
    <t>Justeringer af rammen</t>
  </si>
  <si>
    <t>(sæt x)</t>
  </si>
  <si>
    <t>½ SFO-lederstilling</t>
  </si>
  <si>
    <t>Tilskudsperioden er 3 skoleår - stop 31.07.17</t>
  </si>
  <si>
    <t>E handel system gevinst</t>
  </si>
  <si>
    <t>Indkøbsaftaler - Multiline</t>
  </si>
  <si>
    <t>Intern kørsel</t>
  </si>
  <si>
    <t>Udmønting af telefoni b.c. 2015</t>
  </si>
  <si>
    <t>Besparelse 6. ferieuge</t>
  </si>
  <si>
    <t>Styrkelse af almenundervisningen</t>
  </si>
  <si>
    <t>stop i 31.07.2017</t>
  </si>
  <si>
    <t>Læse og matematikvejleder</t>
  </si>
  <si>
    <t>klasser</t>
  </si>
  <si>
    <t>besluttet på skoleledermøde den 7. februar 2017</t>
  </si>
  <si>
    <t>Gevinstrealiseringer 2012-13 340-2011-38</t>
  </si>
  <si>
    <t>Egenbetaling IT-costmodel</t>
  </si>
  <si>
    <t>Frikøb i MED-systemet</t>
  </si>
  <si>
    <t xml:space="preserve"> </t>
  </si>
  <si>
    <t>Forskel</t>
  </si>
  <si>
    <t>Vandaktiviteter</t>
  </si>
  <si>
    <t>FRE</t>
  </si>
  <si>
    <t>0-18</t>
  </si>
  <si>
    <t>Heraf med 1 klasse på årgangen</t>
  </si>
  <si>
    <t>Faktor for ekstra tildeling</t>
  </si>
  <si>
    <t>Grundtildeling pr klasse</t>
  </si>
  <si>
    <t>Ekstra procent</t>
  </si>
  <si>
    <t>Antal klasser på årgang</t>
  </si>
  <si>
    <t>Tildeling pr klasse</t>
  </si>
  <si>
    <t>19-20</t>
  </si>
  <si>
    <t>21-24</t>
  </si>
  <si>
    <t>25-28</t>
  </si>
  <si>
    <t>Kontrol</t>
  </si>
  <si>
    <t>Ekstra pulje til Dansk og Matematik</t>
  </si>
  <si>
    <t>Pensionspulje</t>
  </si>
  <si>
    <t>Faktorer til klassetildeling</t>
  </si>
  <si>
    <t>Samlet klassetildeling ny model</t>
  </si>
  <si>
    <t>Klassestørrelse</t>
  </si>
  <si>
    <t>Samlet tildeling pr årgang</t>
  </si>
  <si>
    <t>Klasser i alt</t>
  </si>
  <si>
    <t>Sorø Borgerskole</t>
  </si>
  <si>
    <t>Frederiksberg Skole</t>
  </si>
  <si>
    <t>Stenlille Skole</t>
  </si>
  <si>
    <t>Ruds Vedby Skole</t>
  </si>
  <si>
    <t>0. klasse</t>
  </si>
  <si>
    <t>Antal klasseenheder</t>
  </si>
  <si>
    <t>Rammetildeling pr klasseenhed</t>
  </si>
  <si>
    <t>Samlet rammetildeling</t>
  </si>
  <si>
    <t>Samlet justering af rammen</t>
  </si>
  <si>
    <t>Justering pr klasseenhed</t>
  </si>
  <si>
    <t>Samlet tildeling pr klasseenhed</t>
  </si>
  <si>
    <t>SFO2</t>
  </si>
  <si>
    <t>Prisfremskrivning</t>
  </si>
  <si>
    <t>Lønudgift pr</t>
  </si>
  <si>
    <t>Fremskrivning (løn)</t>
  </si>
  <si>
    <t>Grundtildeling:</t>
  </si>
  <si>
    <t>Elevbaseret klassetildelingsfaktor</t>
  </si>
  <si>
    <t>Elever pr klasse</t>
  </si>
  <si>
    <t>Elevgrænser</t>
  </si>
  <si>
    <t>Elevbaseret klassetildeling</t>
  </si>
  <si>
    <t>Rammen</t>
  </si>
  <si>
    <t>Fordeling af klasser med maks elever pr klasse</t>
  </si>
  <si>
    <t>Regulering af rammen jf nedenfor</t>
  </si>
  <si>
    <t>Vægtning</t>
  </si>
  <si>
    <t>Vægtet elevtal</t>
  </si>
  <si>
    <t>Tildeling fra sociale kriterer</t>
  </si>
  <si>
    <t>Antal elever i almendel</t>
  </si>
  <si>
    <t>SFO2-børn</t>
  </si>
  <si>
    <t>Regulering af ramme i alt</t>
  </si>
  <si>
    <t>Tildeling på takst</t>
  </si>
  <si>
    <t>Mangler ift. min.norm.</t>
  </si>
  <si>
    <t>Grænse for</t>
  </si>
  <si>
    <t>minimum norm</t>
  </si>
  <si>
    <t>Besparelser Administrativ Service</t>
  </si>
  <si>
    <t>AULA</t>
  </si>
  <si>
    <t>Økonomisk Synergi</t>
  </si>
  <si>
    <t>ændring mellem skoleårene</t>
  </si>
  <si>
    <t>Ny prisfremskrivningspct.</t>
  </si>
  <si>
    <t>2020 priser</t>
  </si>
  <si>
    <t>er incl. manglende besp på fælles tr.  2.891 fra 2019</t>
  </si>
  <si>
    <t>MEP i 2019</t>
  </si>
  <si>
    <t xml:space="preserve">Budget til dette skal fremover tage fra skolernes udviklingspulje - </t>
  </si>
  <si>
    <t>Lønudgift pr (2020 priser)</t>
  </si>
  <si>
    <t>Skoleåret 2020/21</t>
  </si>
  <si>
    <t>Samme beløb i 2022, herefter skal det nulstilles</t>
  </si>
  <si>
    <t>2021 priser</t>
  </si>
  <si>
    <r>
      <t xml:space="preserve">SFO-takst </t>
    </r>
    <r>
      <rPr>
        <b/>
        <i/>
        <sz val="8"/>
        <rFont val="Arial"/>
        <family val="2"/>
      </rPr>
      <t>(efter tilbagerulning af lukkeuger)</t>
    </r>
  </si>
  <si>
    <t>Takst 2021/22</t>
  </si>
  <si>
    <t>-</t>
  </si>
  <si>
    <t>Gennemsnitlig fordeling af timer</t>
  </si>
  <si>
    <t>Et skoleår på 40 uger (200 dage), som er det mest almindelige, medfører følgende gennemsnitlige fordeling af timer:</t>
  </si>
  <si>
    <t>mindst 27,8 timer i børnehaveklassen - 3. klasse inklusiv pauser</t>
  </si>
  <si>
    <t>mindst 33 timer for 4. - 6. klasse inklusiv pauser</t>
  </si>
  <si>
    <t>35 timer for 7. - 9. klasse inklusiv pauser.</t>
  </si>
  <si>
    <t>Fratrækning af værdien af 4 ugentlige lektioner (3 klokketimer) i Ruds Vedby Skoles 0. klasse</t>
  </si>
  <si>
    <t>Bemærk at klasse markeret med rød er fratrukket værdien af 4 ugentlige lektioner</t>
  </si>
  <si>
    <t>Kemikaliehåndtering</t>
  </si>
  <si>
    <t>TEAMS</t>
  </si>
  <si>
    <t>MOCH</t>
  </si>
  <si>
    <t>Brugerstyringsværktøjer</t>
  </si>
  <si>
    <t>pct.andel</t>
  </si>
  <si>
    <t>Frederiksberg skole</t>
  </si>
  <si>
    <t>Pedersborg skole</t>
  </si>
  <si>
    <t>Ruds Vedby skole</t>
  </si>
  <si>
    <t>Stenlille skole</t>
  </si>
  <si>
    <t>Budgetår 2021</t>
  </si>
  <si>
    <t>-22745 (2021-pris, 70,4%) fra 2024 og frem</t>
  </si>
  <si>
    <t>2022-2023</t>
  </si>
  <si>
    <t>2021-22</t>
  </si>
  <si>
    <t>Nyt rammebeløb pr. elev i folkeskolen (ex. Juniorklub)</t>
  </si>
  <si>
    <t>2022 priser</t>
  </si>
  <si>
    <t>Fremskrivning fra 2021 til 2022</t>
  </si>
  <si>
    <t>Ressourcetildeling 2021-22</t>
  </si>
  <si>
    <t>Ny taktst 2021/22</t>
  </si>
  <si>
    <t>Nedenstående vil bliver overført til skolen på artskonto 10102000 og dækker hele budgetåret 2022.</t>
  </si>
  <si>
    <t>Forskel i 2022</t>
  </si>
  <si>
    <t>I 2022-priser</t>
  </si>
  <si>
    <t>Fremskrevet til 2022-priser for sammenligning</t>
  </si>
  <si>
    <t>Fordeling af pulje til flere lærere og holddeling</t>
  </si>
  <si>
    <t>Flere lærere</t>
  </si>
  <si>
    <t>Forventet pulje - Flere lærere</t>
  </si>
  <si>
    <t>Forventet pulje - Holddeling</t>
  </si>
  <si>
    <t>Holddeling</t>
  </si>
  <si>
    <t>Simulering af ressourcetildeling skoleåret 2022/2023</t>
  </si>
  <si>
    <t>Foreløbig ressourcetildeling skoleåret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</si>
</sst>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.&quot;* #,##0.00_);_(&quot;kr.&quot;* \(#,##0.00\);_(&quot;kr.&quot;* &quot;-&quot;??_);_(@_)"/>
    <numFmt numFmtId="165" formatCode="_(* #,##0.00_);_(* \(#,##0.00\);_(* &quot;-&quot;??_);_(@_)"/>
    <numFmt numFmtId="166" formatCode="0.0"/>
    <numFmt numFmtId="167" formatCode="_ * #,##0_ ;_ * \-#,##0_ ;_ * &quot;-&quot;??_ ;_ @_ "/>
    <numFmt numFmtId="168" formatCode="#,##0_ ;\-#,##0\ "/>
    <numFmt numFmtId="169" formatCode="_(* #,##0_);_(* \(#,##0\);_(* &quot;-&quot;??_);_(@_)"/>
    <numFmt numFmtId="170" formatCode="#,##0.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6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3.5"/>
      <color rgb="FF000000"/>
      <name val="Tahoma"/>
      <family val="2"/>
    </font>
    <font>
      <sz val="13.5"/>
      <color rgb="FF4A4A4A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</cellStyleXfs>
  <cellXfs count="387">
    <xf numFmtId="0" fontId="0" fillId="0" borderId="0" xfId="0"/>
    <xf numFmtId="0" fontId="3" fillId="0" borderId="0" xfId="0" applyFont="1"/>
    <xf numFmtId="3" fontId="3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3" fontId="5" fillId="0" borderId="2" xfId="1" applyNumberFormat="1" applyFont="1" applyBorder="1"/>
    <xf numFmtId="0" fontId="3" fillId="0" borderId="3" xfId="0" applyFont="1" applyBorder="1"/>
    <xf numFmtId="3" fontId="3" fillId="0" borderId="4" xfId="1" applyNumberFormat="1" applyFont="1" applyBorder="1"/>
    <xf numFmtId="3" fontId="3" fillId="0" borderId="5" xfId="1" applyNumberFormat="1" applyFont="1" applyBorder="1"/>
    <xf numFmtId="0" fontId="3" fillId="0" borderId="6" xfId="0" applyFont="1" applyBorder="1"/>
    <xf numFmtId="3" fontId="5" fillId="0" borderId="5" xfId="1" applyNumberFormat="1" applyFont="1" applyBorder="1"/>
    <xf numFmtId="3" fontId="3" fillId="0" borderId="0" xfId="0" applyNumberFormat="1" applyFont="1"/>
    <xf numFmtId="3" fontId="3" fillId="0" borderId="2" xfId="1" applyNumberFormat="1" applyFont="1" applyBorder="1"/>
    <xf numFmtId="0" fontId="3" fillId="0" borderId="2" xfId="0" applyFont="1" applyBorder="1"/>
    <xf numFmtId="0" fontId="3" fillId="0" borderId="4" xfId="0" applyFont="1" applyBorder="1"/>
    <xf numFmtId="3" fontId="5" fillId="0" borderId="4" xfId="1" applyNumberFormat="1" applyFont="1" applyBorder="1"/>
    <xf numFmtId="0" fontId="3" fillId="0" borderId="5" xfId="0" applyFont="1" applyBorder="1"/>
    <xf numFmtId="0" fontId="5" fillId="0" borderId="7" xfId="0" applyFont="1" applyBorder="1"/>
    <xf numFmtId="3" fontId="5" fillId="0" borderId="7" xfId="1" applyNumberFormat="1" applyFont="1" applyBorder="1"/>
    <xf numFmtId="0" fontId="0" fillId="0" borderId="0" xfId="0" applyFill="1" applyBorder="1"/>
    <xf numFmtId="0" fontId="8" fillId="0" borderId="8" xfId="0" applyFont="1" applyBorder="1"/>
    <xf numFmtId="0" fontId="1" fillId="0" borderId="0" xfId="0" applyFont="1"/>
    <xf numFmtId="0" fontId="8" fillId="0" borderId="0" xfId="0" applyFont="1"/>
    <xf numFmtId="3" fontId="1" fillId="0" borderId="0" xfId="0" applyNumberFormat="1" applyFont="1"/>
    <xf numFmtId="0" fontId="1" fillId="0" borderId="0" xfId="0" applyFont="1" applyFill="1"/>
    <xf numFmtId="0" fontId="1" fillId="0" borderId="0" xfId="0" applyFont="1" applyFill="1" applyBorder="1"/>
    <xf numFmtId="0" fontId="12" fillId="0" borderId="0" xfId="0" applyFont="1"/>
    <xf numFmtId="0" fontId="1" fillId="0" borderId="9" xfId="0" applyFont="1" applyBorder="1"/>
    <xf numFmtId="0" fontId="0" fillId="0" borderId="0" xfId="0" applyFill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10" xfId="0" applyFont="1" applyBorder="1"/>
    <xf numFmtId="0" fontId="1" fillId="0" borderId="0" xfId="0" applyFont="1" applyBorder="1"/>
    <xf numFmtId="0" fontId="1" fillId="0" borderId="8" xfId="0" applyFont="1" applyFill="1" applyBorder="1"/>
    <xf numFmtId="3" fontId="1" fillId="0" borderId="0" xfId="0" applyNumberFormat="1" applyFont="1" applyFill="1" applyBorder="1"/>
    <xf numFmtId="3" fontId="8" fillId="0" borderId="0" xfId="0" applyNumberFormat="1" applyFont="1" applyBorder="1"/>
    <xf numFmtId="0" fontId="8" fillId="0" borderId="0" xfId="0" applyFont="1" applyBorder="1"/>
    <xf numFmtId="0" fontId="8" fillId="0" borderId="11" xfId="0" applyFont="1" applyFill="1" applyBorder="1"/>
    <xf numFmtId="0" fontId="8" fillId="0" borderId="0" xfId="0" applyFont="1" applyAlignment="1">
      <alignment wrapText="1"/>
    </xf>
    <xf numFmtId="0" fontId="8" fillId="0" borderId="0" xfId="0" applyFont="1" applyFill="1" applyBorder="1"/>
    <xf numFmtId="3" fontId="8" fillId="0" borderId="12" xfId="0" applyNumberFormat="1" applyFont="1" applyBorder="1"/>
    <xf numFmtId="3" fontId="1" fillId="0" borderId="10" xfId="0" applyNumberFormat="1" applyFont="1" applyFill="1" applyBorder="1"/>
    <xf numFmtId="0" fontId="1" fillId="0" borderId="10" xfId="0" applyFont="1" applyFill="1" applyBorder="1" applyAlignment="1">
      <alignment wrapText="1"/>
    </xf>
    <xf numFmtId="0" fontId="1" fillId="0" borderId="13" xfId="0" applyFont="1" applyFill="1" applyBorder="1" applyAlignment="1">
      <alignment vertical="center" wrapText="1"/>
    </xf>
    <xf numFmtId="3" fontId="1" fillId="0" borderId="0" xfId="0" applyNumberFormat="1" applyFont="1" applyFill="1"/>
    <xf numFmtId="0" fontId="11" fillId="0" borderId="0" xfId="0" applyFont="1" applyFill="1"/>
    <xf numFmtId="0" fontId="10" fillId="0" borderId="0" xfId="0" applyFont="1" applyFill="1" applyBorder="1"/>
    <xf numFmtId="3" fontId="10" fillId="0" borderId="0" xfId="0" applyNumberFormat="1" applyFont="1" applyFill="1" applyBorder="1"/>
    <xf numFmtId="0" fontId="8" fillId="0" borderId="0" xfId="0" applyFont="1" applyFill="1"/>
    <xf numFmtId="0" fontId="11" fillId="0" borderId="0" xfId="0" applyFont="1" applyFill="1" applyAlignment="1">
      <alignment horizontal="center"/>
    </xf>
    <xf numFmtId="3" fontId="1" fillId="0" borderId="8" xfId="0" applyNumberFormat="1" applyFont="1" applyFill="1" applyBorder="1"/>
    <xf numFmtId="3" fontId="1" fillId="0" borderId="14" xfId="0" applyNumberFormat="1" applyFont="1" applyFill="1" applyBorder="1"/>
    <xf numFmtId="0" fontId="8" fillId="0" borderId="0" xfId="0" applyFont="1" applyFill="1" applyAlignment="1">
      <alignment horizontal="center"/>
    </xf>
    <xf numFmtId="0" fontId="1" fillId="0" borderId="11" xfId="0" applyFont="1" applyBorder="1"/>
    <xf numFmtId="2" fontId="1" fillId="0" borderId="0" xfId="0" applyNumberFormat="1" applyFont="1" applyBorder="1"/>
    <xf numFmtId="3" fontId="1" fillId="0" borderId="11" xfId="0" applyNumberFormat="1" applyFont="1" applyFill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15" xfId="0" applyNumberFormat="1" applyFont="1" applyFill="1" applyBorder="1"/>
    <xf numFmtId="3" fontId="1" fillId="0" borderId="16" xfId="0" applyNumberFormat="1" applyFont="1" applyFill="1" applyBorder="1"/>
    <xf numFmtId="3" fontId="1" fillId="0" borderId="17" xfId="0" applyNumberFormat="1" applyFont="1" applyFill="1" applyBorder="1"/>
    <xf numFmtId="3" fontId="1" fillId="0" borderId="9" xfId="0" applyNumberFormat="1" applyFont="1" applyFill="1" applyBorder="1"/>
    <xf numFmtId="3" fontId="1" fillId="0" borderId="18" xfId="0" applyNumberFormat="1" applyFont="1" applyFill="1" applyBorder="1"/>
    <xf numFmtId="3" fontId="1" fillId="0" borderId="19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Border="1"/>
    <xf numFmtId="0" fontId="1" fillId="0" borderId="0" xfId="0" applyFont="1" applyAlignment="1"/>
    <xf numFmtId="3" fontId="1" fillId="0" borderId="12" xfId="0" applyNumberFormat="1" applyFont="1" applyBorder="1"/>
    <xf numFmtId="0" fontId="1" fillId="0" borderId="12" xfId="0" applyFont="1" applyBorder="1"/>
    <xf numFmtId="0" fontId="1" fillId="0" borderId="20" xfId="0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166" fontId="1" fillId="0" borderId="3" xfId="0" applyNumberFormat="1" applyFont="1" applyFill="1" applyBorder="1"/>
    <xf numFmtId="3" fontId="1" fillId="0" borderId="20" xfId="2" applyNumberFormat="1" applyFont="1" applyFill="1" applyBorder="1"/>
    <xf numFmtId="3" fontId="1" fillId="0" borderId="11" xfId="2" applyNumberFormat="1" applyFont="1" applyFill="1" applyBorder="1"/>
    <xf numFmtId="3" fontId="1" fillId="0" borderId="3" xfId="0" applyNumberFormat="1" applyFont="1" applyFill="1" applyBorder="1"/>
    <xf numFmtId="3" fontId="1" fillId="0" borderId="20" xfId="0" applyNumberFormat="1" applyFont="1" applyFill="1" applyBorder="1"/>
    <xf numFmtId="0" fontId="1" fillId="0" borderId="11" xfId="0" applyFont="1" applyFill="1" applyBorder="1"/>
    <xf numFmtId="168" fontId="1" fillId="8" borderId="0" xfId="3" applyNumberFormat="1" applyFont="1" applyFill="1" applyBorder="1"/>
    <xf numFmtId="0" fontId="15" fillId="0" borderId="0" xfId="0" applyFont="1" applyBorder="1" applyAlignment="1"/>
    <xf numFmtId="3" fontId="8" fillId="0" borderId="0" xfId="0" applyNumberFormat="1" applyFont="1" applyFill="1" applyBorder="1" applyAlignment="1"/>
    <xf numFmtId="0" fontId="13" fillId="0" borderId="0" xfId="0" applyFont="1" applyFill="1" applyBorder="1" applyAlignment="1"/>
    <xf numFmtId="3" fontId="8" fillId="0" borderId="0" xfId="0" applyNumberFormat="1" applyFont="1" applyBorder="1" applyAlignment="1"/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0" fontId="13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indent="1"/>
    </xf>
    <xf numFmtId="0" fontId="1" fillId="2" borderId="0" xfId="0" applyFont="1" applyFill="1" applyBorder="1"/>
    <xf numFmtId="0" fontId="1" fillId="0" borderId="0" xfId="0" applyFont="1" applyBorder="1" applyAlignment="1">
      <alignment horizontal="right" inden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 indent="1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/>
    </xf>
    <xf numFmtId="49" fontId="1" fillId="4" borderId="0" xfId="0" applyNumberFormat="1" applyFont="1" applyFill="1" applyBorder="1"/>
    <xf numFmtId="0" fontId="1" fillId="4" borderId="0" xfId="0" applyFont="1" applyFill="1" applyBorder="1"/>
    <xf numFmtId="49" fontId="1" fillId="5" borderId="0" xfId="0" applyNumberFormat="1" applyFont="1" applyFill="1" applyBorder="1"/>
    <xf numFmtId="0" fontId="1" fillId="5" borderId="0" xfId="0" applyFont="1" applyFill="1" applyBorder="1"/>
    <xf numFmtId="49" fontId="1" fillId="3" borderId="0" xfId="0" applyNumberFormat="1" applyFont="1" applyFill="1" applyBorder="1"/>
    <xf numFmtId="49" fontId="1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right" indent="1"/>
    </xf>
    <xf numFmtId="0" fontId="1" fillId="6" borderId="0" xfId="0" applyFont="1" applyFill="1" applyBorder="1" applyAlignment="1">
      <alignment horizontal="center"/>
    </xf>
    <xf numFmtId="0" fontId="1" fillId="3" borderId="0" xfId="0" quotePrefix="1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0" fontId="8" fillId="7" borderId="0" xfId="0" applyFont="1" applyFill="1" applyBorder="1"/>
    <xf numFmtId="167" fontId="8" fillId="0" borderId="0" xfId="0" applyNumberFormat="1" applyFont="1" applyBorder="1"/>
    <xf numFmtId="0" fontId="0" fillId="0" borderId="8" xfId="0" applyBorder="1"/>
    <xf numFmtId="3" fontId="0" fillId="0" borderId="0" xfId="0" applyNumberFormat="1" applyFill="1" applyBorder="1"/>
    <xf numFmtId="3" fontId="0" fillId="0" borderId="11" xfId="0" applyNumberFormat="1" applyFill="1" applyBorder="1"/>
    <xf numFmtId="0" fontId="0" fillId="0" borderId="8" xfId="0" applyFill="1" applyBorder="1"/>
    <xf numFmtId="4" fontId="0" fillId="0" borderId="11" xfId="0" applyNumberForma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0" fillId="0" borderId="15" xfId="0" applyNumberFormat="1" applyFill="1" applyBorder="1"/>
    <xf numFmtId="0" fontId="9" fillId="0" borderId="15" xfId="0" applyFont="1" applyFill="1" applyBorder="1"/>
    <xf numFmtId="0" fontId="0" fillId="0" borderId="0" xfId="0" applyBorder="1"/>
    <xf numFmtId="169" fontId="0" fillId="0" borderId="0" xfId="1" applyNumberFormat="1" applyFont="1"/>
    <xf numFmtId="0" fontId="15" fillId="0" borderId="12" xfId="0" applyFont="1" applyFill="1" applyBorder="1"/>
    <xf numFmtId="0" fontId="0" fillId="0" borderId="12" xfId="0" applyBorder="1"/>
    <xf numFmtId="0" fontId="0" fillId="0" borderId="11" xfId="0" applyBorder="1"/>
    <xf numFmtId="169" fontId="0" fillId="0" borderId="8" xfId="1" applyNumberFormat="1" applyFont="1" applyBorder="1"/>
    <xf numFmtId="0" fontId="0" fillId="0" borderId="16" xfId="0" applyBorder="1"/>
    <xf numFmtId="0" fontId="0" fillId="0" borderId="14" xfId="0" applyBorder="1"/>
    <xf numFmtId="169" fontId="16" fillId="8" borderId="9" xfId="1" applyNumberFormat="1" applyFont="1" applyFill="1" applyBorder="1"/>
    <xf numFmtId="169" fontId="0" fillId="0" borderId="24" xfId="1" applyNumberFormat="1" applyFont="1" applyBorder="1"/>
    <xf numFmtId="169" fontId="0" fillId="0" borderId="11" xfId="1" applyNumberFormat="1" applyFont="1" applyBorder="1"/>
    <xf numFmtId="169" fontId="16" fillId="8" borderId="25" xfId="1" applyNumberFormat="1" applyFont="1" applyFill="1" applyBorder="1"/>
    <xf numFmtId="169" fontId="0" fillId="0" borderId="26" xfId="1" applyNumberFormat="1" applyFont="1" applyBorder="1"/>
    <xf numFmtId="0" fontId="0" fillId="0" borderId="15" xfId="0" applyBorder="1"/>
    <xf numFmtId="0" fontId="0" fillId="0" borderId="23" xfId="0" applyFill="1" applyBorder="1"/>
    <xf numFmtId="0" fontId="8" fillId="0" borderId="22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0" fontId="0" fillId="0" borderId="17" xfId="0" applyBorder="1"/>
    <xf numFmtId="0" fontId="0" fillId="8" borderId="29" xfId="0" applyFill="1" applyBorder="1"/>
    <xf numFmtId="0" fontId="0" fillId="8" borderId="30" xfId="0" applyFill="1" applyBorder="1"/>
    <xf numFmtId="0" fontId="1" fillId="0" borderId="9" xfId="0" applyFont="1" applyFill="1" applyBorder="1"/>
    <xf numFmtId="1" fontId="1" fillId="0" borderId="0" xfId="0" applyNumberFormat="1" applyFont="1"/>
    <xf numFmtId="169" fontId="1" fillId="0" borderId="0" xfId="1" applyNumberFormat="1" applyFont="1"/>
    <xf numFmtId="3" fontId="1" fillId="0" borderId="0" xfId="1" applyNumberFormat="1" applyFont="1"/>
    <xf numFmtId="3" fontId="8" fillId="0" borderId="11" xfId="0" applyNumberFormat="1" applyFont="1" applyBorder="1"/>
    <xf numFmtId="3" fontId="1" fillId="8" borderId="11" xfId="0" applyNumberFormat="1" applyFont="1" applyFill="1" applyBorder="1"/>
    <xf numFmtId="3" fontId="1" fillId="8" borderId="16" xfId="0" applyNumberFormat="1" applyFont="1" applyFill="1" applyBorder="1"/>
    <xf numFmtId="3" fontId="1" fillId="8" borderId="0" xfId="0" applyNumberFormat="1" applyFont="1" applyFill="1" applyBorder="1"/>
    <xf numFmtId="0" fontId="0" fillId="8" borderId="21" xfId="0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1" fillId="8" borderId="0" xfId="0" applyFont="1" applyFill="1" applyBorder="1"/>
    <xf numFmtId="0" fontId="13" fillId="0" borderId="0" xfId="0" applyFont="1" applyFill="1"/>
    <xf numFmtId="3" fontId="8" fillId="8" borderId="0" xfId="0" applyNumberFormat="1" applyFont="1" applyFill="1" applyBorder="1"/>
    <xf numFmtId="0" fontId="17" fillId="0" borderId="0" xfId="0" applyFont="1"/>
    <xf numFmtId="169" fontId="0" fillId="0" borderId="0" xfId="0" applyNumberFormat="1"/>
    <xf numFmtId="3" fontId="1" fillId="0" borderId="16" xfId="0" applyNumberFormat="1" applyFont="1" applyFill="1" applyBorder="1" applyAlignment="1">
      <alignment vertical="center"/>
    </xf>
    <xf numFmtId="3" fontId="0" fillId="0" borderId="0" xfId="0" applyNumberFormat="1"/>
    <xf numFmtId="166" fontId="0" fillId="0" borderId="0" xfId="0" applyNumberFormat="1"/>
    <xf numFmtId="170" fontId="0" fillId="0" borderId="0" xfId="0" applyNumberFormat="1"/>
    <xf numFmtId="3" fontId="1" fillId="0" borderId="4" xfId="0" applyNumberFormat="1" applyFont="1" applyBorder="1"/>
    <xf numFmtId="3" fontId="1" fillId="0" borderId="7" xfId="0" applyNumberFormat="1" applyFont="1" applyBorder="1"/>
    <xf numFmtId="3" fontId="8" fillId="0" borderId="7" xfId="0" applyNumberFormat="1" applyFont="1" applyBorder="1"/>
    <xf numFmtId="169" fontId="1" fillId="0" borderId="0" xfId="0" applyNumberFormat="1" applyFont="1" applyFill="1" applyBorder="1"/>
    <xf numFmtId="3" fontId="1" fillId="8" borderId="0" xfId="0" applyNumberFormat="1" applyFont="1" applyFill="1" applyBorder="1"/>
    <xf numFmtId="3" fontId="1" fillId="0" borderId="41" xfId="0" applyNumberFormat="1" applyFont="1" applyBorder="1"/>
    <xf numFmtId="3" fontId="8" fillId="0" borderId="24" xfId="0" applyNumberFormat="1" applyFont="1" applyBorder="1"/>
    <xf numFmtId="3" fontId="1" fillId="0" borderId="24" xfId="0" applyNumberFormat="1" applyFont="1" applyBorder="1"/>
    <xf numFmtId="0" fontId="1" fillId="8" borderId="29" xfId="0" applyFont="1" applyFill="1" applyBorder="1"/>
    <xf numFmtId="0" fontId="0" fillId="8" borderId="42" xfId="0" applyFill="1" applyBorder="1"/>
    <xf numFmtId="169" fontId="16" fillId="8" borderId="43" xfId="1" applyNumberFormat="1" applyFont="1" applyFill="1" applyBorder="1"/>
    <xf numFmtId="0" fontId="0" fillId="8" borderId="44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1" fillId="8" borderId="42" xfId="0" applyFont="1" applyFill="1" applyBorder="1"/>
    <xf numFmtId="169" fontId="1" fillId="0" borderId="11" xfId="0" applyNumberFormat="1" applyFont="1" applyFill="1" applyBorder="1"/>
    <xf numFmtId="0" fontId="1" fillId="0" borderId="14" xfId="0" applyFont="1" applyFill="1" applyBorder="1"/>
    <xf numFmtId="169" fontId="1" fillId="0" borderId="16" xfId="0" applyNumberFormat="1" applyFont="1" applyFill="1" applyBorder="1"/>
    <xf numFmtId="3" fontId="8" fillId="0" borderId="9" xfId="0" applyNumberFormat="1" applyFont="1" applyFill="1" applyBorder="1" applyAlignment="1">
      <alignment horizontal="center" wrapText="1"/>
    </xf>
    <xf numFmtId="169" fontId="0" fillId="0" borderId="24" xfId="1" applyNumberFormat="1" applyFont="1" applyFill="1" applyBorder="1"/>
    <xf numFmtId="3" fontId="8" fillId="0" borderId="25" xfId="0" applyNumberFormat="1" applyFont="1" applyFill="1" applyBorder="1" applyAlignment="1">
      <alignment horizontal="center" wrapText="1"/>
    </xf>
    <xf numFmtId="169" fontId="0" fillId="0" borderId="26" xfId="1" applyNumberFormat="1" applyFont="1" applyFill="1" applyBorder="1"/>
    <xf numFmtId="169" fontId="0" fillId="0" borderId="7" xfId="0" applyNumberFormat="1" applyBorder="1"/>
    <xf numFmtId="169" fontId="0" fillId="0" borderId="24" xfId="0" applyNumberFormat="1" applyBorder="1"/>
    <xf numFmtId="169" fontId="0" fillId="0" borderId="47" xfId="0" applyNumberFormat="1" applyBorder="1"/>
    <xf numFmtId="169" fontId="0" fillId="0" borderId="26" xfId="0" applyNumberFormat="1" applyBorder="1"/>
    <xf numFmtId="166" fontId="0" fillId="0" borderId="7" xfId="0" applyNumberFormat="1" applyBorder="1"/>
    <xf numFmtId="166" fontId="0" fillId="0" borderId="47" xfId="0" applyNumberFormat="1" applyBorder="1"/>
    <xf numFmtId="169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9" fontId="18" fillId="0" borderId="0" xfId="2" applyFont="1" applyFill="1" applyBorder="1"/>
    <xf numFmtId="0" fontId="8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/>
    <xf numFmtId="0" fontId="1" fillId="0" borderId="21" xfId="0" applyFont="1" applyBorder="1"/>
    <xf numFmtId="1" fontId="0" fillId="0" borderId="0" xfId="0" applyNumberFormat="1"/>
    <xf numFmtId="169" fontId="0" fillId="0" borderId="0" xfId="1" applyNumberFormat="1" applyFont="1" applyFill="1" applyBorder="1"/>
    <xf numFmtId="166" fontId="0" fillId="0" borderId="0" xfId="0" applyNumberFormat="1" applyBorder="1"/>
    <xf numFmtId="169" fontId="0" fillId="0" borderId="0" xfId="1" applyNumberFormat="1" applyFont="1" applyBorder="1"/>
    <xf numFmtId="0" fontId="0" fillId="8" borderId="0" xfId="0" applyFill="1"/>
    <xf numFmtId="3" fontId="16" fillId="8" borderId="9" xfId="1" applyNumberFormat="1" applyFont="1" applyFill="1" applyBorder="1"/>
    <xf numFmtId="3" fontId="0" fillId="0" borderId="24" xfId="1" applyNumberFormat="1" applyFont="1" applyBorder="1"/>
    <xf numFmtId="3" fontId="1" fillId="0" borderId="0" xfId="1" applyNumberFormat="1" applyFont="1" applyFill="1"/>
    <xf numFmtId="3" fontId="1" fillId="0" borderId="0" xfId="1" applyNumberFormat="1" applyFont="1" applyFill="1" applyBorder="1"/>
    <xf numFmtId="2" fontId="0" fillId="0" borderId="0" xfId="0" applyNumberFormat="1"/>
    <xf numFmtId="166" fontId="1" fillId="0" borderId="0" xfId="0" applyNumberFormat="1" applyFont="1" applyFill="1" applyBorder="1"/>
    <xf numFmtId="166" fontId="1" fillId="0" borderId="11" xfId="0" applyNumberFormat="1" applyFont="1" applyFill="1" applyBorder="1"/>
    <xf numFmtId="1" fontId="1" fillId="0" borderId="0" xfId="0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5" fontId="10" fillId="0" borderId="0" xfId="1" applyFont="1" applyFill="1" applyAlignment="1">
      <alignment horizontal="left"/>
    </xf>
    <xf numFmtId="0" fontId="1" fillId="0" borderId="0" xfId="0" applyFont="1" applyBorder="1" applyAlignment="1">
      <alignment horizontal="left" wrapText="1"/>
    </xf>
    <xf numFmtId="165" fontId="10" fillId="0" borderId="0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5" fontId="10" fillId="0" borderId="0" xfId="1" applyFont="1" applyFill="1" applyAlignment="1">
      <alignment horizontal="left" vertical="top"/>
    </xf>
    <xf numFmtId="2" fontId="0" fillId="8" borderId="0" xfId="0" applyNumberFormat="1" applyFill="1"/>
    <xf numFmtId="170" fontId="1" fillId="0" borderId="0" xfId="0" applyNumberFormat="1" applyFont="1" applyFill="1" applyBorder="1"/>
    <xf numFmtId="170" fontId="1" fillId="0" borderId="12" xfId="0" applyNumberFormat="1" applyFont="1" applyBorder="1"/>
    <xf numFmtId="167" fontId="1" fillId="0" borderId="0" xfId="0" applyNumberFormat="1" applyFont="1" applyBorder="1"/>
    <xf numFmtId="167" fontId="1" fillId="0" borderId="12" xfId="0" applyNumberFormat="1" applyFont="1" applyBorder="1"/>
    <xf numFmtId="3" fontId="8" fillId="0" borderId="0" xfId="0" applyNumberFormat="1" applyFont="1" applyFill="1" applyBorder="1" applyAlignment="1">
      <alignment horizontal="right" wrapText="1"/>
    </xf>
    <xf numFmtId="0" fontId="1" fillId="9" borderId="0" xfId="0" applyFont="1" applyFill="1"/>
    <xf numFmtId="4" fontId="1" fillId="0" borderId="0" xfId="0" applyNumberFormat="1" applyFont="1" applyFill="1" applyBorder="1"/>
    <xf numFmtId="0" fontId="15" fillId="9" borderId="0" xfId="0" applyFont="1" applyFill="1" applyBorder="1"/>
    <xf numFmtId="3" fontId="1" fillId="9" borderId="0" xfId="0" applyNumberFormat="1" applyFont="1" applyFill="1"/>
    <xf numFmtId="0" fontId="8" fillId="9" borderId="35" xfId="0" applyFont="1" applyFill="1" applyBorder="1"/>
    <xf numFmtId="3" fontId="8" fillId="9" borderId="35" xfId="0" applyNumberFormat="1" applyFont="1" applyFill="1" applyBorder="1"/>
    <xf numFmtId="0" fontId="8" fillId="9" borderId="32" xfId="0" applyFont="1" applyFill="1" applyBorder="1"/>
    <xf numFmtId="3" fontId="8" fillId="9" borderId="33" xfId="0" applyNumberFormat="1" applyFont="1" applyFill="1" applyBorder="1"/>
    <xf numFmtId="0" fontId="8" fillId="9" borderId="33" xfId="0" applyFont="1" applyFill="1" applyBorder="1"/>
    <xf numFmtId="0" fontId="8" fillId="9" borderId="36" xfId="0" applyFont="1" applyFill="1" applyBorder="1" applyAlignment="1"/>
    <xf numFmtId="0" fontId="0" fillId="10" borderId="0" xfId="0" applyFill="1"/>
    <xf numFmtId="0" fontId="7" fillId="10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0" fontId="0" fillId="10" borderId="27" xfId="0" applyFill="1" applyBorder="1"/>
    <xf numFmtId="0" fontId="0" fillId="10" borderId="23" xfId="0" applyFill="1" applyBorder="1"/>
    <xf numFmtId="0" fontId="8" fillId="10" borderId="14" xfId="0" applyFont="1" applyFill="1" applyBorder="1"/>
    <xf numFmtId="3" fontId="1" fillId="10" borderId="0" xfId="0" applyNumberFormat="1" applyFont="1" applyFill="1" applyBorder="1"/>
    <xf numFmtId="3" fontId="8" fillId="10" borderId="0" xfId="0" applyNumberFormat="1" applyFont="1" applyFill="1" applyBorder="1"/>
    <xf numFmtId="0" fontId="15" fillId="10" borderId="0" xfId="0" applyFont="1" applyFill="1" applyBorder="1"/>
    <xf numFmtId="3" fontId="8" fillId="10" borderId="22" xfId="0" applyNumberFormat="1" applyFont="1" applyFill="1" applyBorder="1"/>
    <xf numFmtId="3" fontId="8" fillId="10" borderId="23" xfId="0" applyNumberFormat="1" applyFont="1" applyFill="1" applyBorder="1"/>
    <xf numFmtId="0" fontId="8" fillId="10" borderId="22" xfId="0" applyFont="1" applyFill="1" applyBorder="1"/>
    <xf numFmtId="3" fontId="0" fillId="10" borderId="27" xfId="0" applyNumberFormat="1" applyFill="1" applyBorder="1"/>
    <xf numFmtId="4" fontId="0" fillId="10" borderId="27" xfId="0" applyNumberFormat="1" applyFill="1" applyBorder="1"/>
    <xf numFmtId="4" fontId="0" fillId="10" borderId="23" xfId="0" applyNumberFormat="1" applyFill="1" applyBorder="1"/>
    <xf numFmtId="3" fontId="8" fillId="10" borderId="15" xfId="0" applyNumberFormat="1" applyFont="1" applyFill="1" applyBorder="1"/>
    <xf numFmtId="3" fontId="0" fillId="10" borderId="15" xfId="0" applyNumberFormat="1" applyFill="1" applyBorder="1"/>
    <xf numFmtId="3" fontId="0" fillId="10" borderId="16" xfId="0" applyNumberFormat="1" applyFill="1" applyBorder="1"/>
    <xf numFmtId="0" fontId="15" fillId="10" borderId="22" xfId="0" applyFont="1" applyFill="1" applyBorder="1"/>
    <xf numFmtId="0" fontId="15" fillId="10" borderId="27" xfId="0" applyFont="1" applyFill="1" applyBorder="1"/>
    <xf numFmtId="0" fontId="15" fillId="10" borderId="28" xfId="0" applyFont="1" applyFill="1" applyBorder="1"/>
    <xf numFmtId="0" fontId="0" fillId="10" borderId="22" xfId="0" applyFill="1" applyBorder="1"/>
    <xf numFmtId="0" fontId="0" fillId="10" borderId="0" xfId="0" applyFill="1" applyBorder="1"/>
    <xf numFmtId="0" fontId="0" fillId="10" borderId="11" xfId="0" applyFill="1" applyBorder="1"/>
    <xf numFmtId="0" fontId="9" fillId="10" borderId="12" xfId="0" applyFont="1" applyFill="1" applyBorder="1"/>
    <xf numFmtId="0" fontId="0" fillId="10" borderId="8" xfId="0" applyFill="1" applyBorder="1"/>
    <xf numFmtId="0" fontId="0" fillId="10" borderId="12" xfId="0" applyFill="1" applyBorder="1"/>
    <xf numFmtId="0" fontId="1" fillId="10" borderId="8" xfId="0" applyFont="1" applyFill="1" applyBorder="1"/>
    <xf numFmtId="0" fontId="1" fillId="10" borderId="11" xfId="0" applyFont="1" applyFill="1" applyBorder="1"/>
    <xf numFmtId="0" fontId="1" fillId="10" borderId="0" xfId="0" applyFont="1" applyFill="1" applyBorder="1"/>
    <xf numFmtId="0" fontId="9" fillId="10" borderId="12" xfId="0" applyFont="1" applyFill="1" applyBorder="1" applyAlignment="1">
      <alignment wrapText="1"/>
    </xf>
    <xf numFmtId="169" fontId="16" fillId="10" borderId="8" xfId="1" applyNumberFormat="1" applyFont="1" applyFill="1" applyBorder="1"/>
    <xf numFmtId="169" fontId="16" fillId="10" borderId="11" xfId="1" applyNumberFormat="1" applyFont="1" applyFill="1" applyBorder="1"/>
    <xf numFmtId="0" fontId="8" fillId="10" borderId="12" xfId="0" applyFont="1" applyFill="1" applyBorder="1"/>
    <xf numFmtId="0" fontId="0" fillId="10" borderId="32" xfId="0" applyFill="1" applyBorder="1"/>
    <xf numFmtId="0" fontId="0" fillId="10" borderId="33" xfId="0" applyFill="1" applyBorder="1"/>
    <xf numFmtId="169" fontId="16" fillId="10" borderId="34" xfId="1" applyNumberFormat="1" applyFont="1" applyFill="1" applyBorder="1"/>
    <xf numFmtId="0" fontId="8" fillId="10" borderId="35" xfId="0" applyFont="1" applyFill="1" applyBorder="1"/>
    <xf numFmtId="3" fontId="8" fillId="10" borderId="35" xfId="0" applyNumberFormat="1" applyFont="1" applyFill="1" applyBorder="1"/>
    <xf numFmtId="0" fontId="1" fillId="10" borderId="0" xfId="0" applyFont="1" applyFill="1"/>
    <xf numFmtId="3" fontId="1" fillId="10" borderId="0" xfId="0" applyNumberFormat="1" applyFont="1" applyFill="1"/>
    <xf numFmtId="0" fontId="8" fillId="10" borderId="28" xfId="0" applyFont="1" applyFill="1" applyBorder="1"/>
    <xf numFmtId="0" fontId="15" fillId="10" borderId="8" xfId="0" applyFont="1" applyFill="1" applyBorder="1"/>
    <xf numFmtId="3" fontId="8" fillId="10" borderId="3" xfId="0" applyNumberFormat="1" applyFont="1" applyFill="1" applyBorder="1" applyAlignment="1">
      <alignment horizontal="center"/>
    </xf>
    <xf numFmtId="3" fontId="8" fillId="10" borderId="20" xfId="0" applyNumberFormat="1" applyFont="1" applyFill="1" applyBorder="1" applyAlignment="1">
      <alignment horizontal="center"/>
    </xf>
    <xf numFmtId="3" fontId="8" fillId="10" borderId="11" xfId="0" applyNumberFormat="1" applyFont="1" applyFill="1" applyBorder="1" applyAlignment="1">
      <alignment horizontal="center"/>
    </xf>
    <xf numFmtId="0" fontId="1" fillId="10" borderId="14" xfId="0" applyFont="1" applyFill="1" applyBorder="1"/>
    <xf numFmtId="0" fontId="1" fillId="10" borderId="37" xfId="0" applyFont="1" applyFill="1" applyBorder="1"/>
    <xf numFmtId="0" fontId="1" fillId="10" borderId="38" xfId="0" applyFont="1" applyFill="1" applyBorder="1"/>
    <xf numFmtId="2" fontId="1" fillId="10" borderId="37" xfId="0" applyNumberFormat="1" applyFont="1" applyFill="1" applyBorder="1"/>
    <xf numFmtId="2" fontId="1" fillId="10" borderId="38" xfId="0" applyNumberFormat="1" applyFont="1" applyFill="1" applyBorder="1"/>
    <xf numFmtId="3" fontId="1" fillId="10" borderId="37" xfId="0" applyNumberFormat="1" applyFont="1" applyFill="1" applyBorder="1"/>
    <xf numFmtId="3" fontId="1" fillId="10" borderId="16" xfId="0" applyNumberFormat="1" applyFont="1" applyFill="1" applyBorder="1"/>
    <xf numFmtId="0" fontId="1" fillId="10" borderId="16" xfId="0" applyFont="1" applyFill="1" applyBorder="1"/>
    <xf numFmtId="3" fontId="8" fillId="10" borderId="27" xfId="0" applyNumberFormat="1" applyFont="1" applyFill="1" applyBorder="1" applyAlignment="1">
      <alignment horizontal="center" wrapText="1"/>
    </xf>
    <xf numFmtId="0" fontId="1" fillId="10" borderId="27" xfId="0" applyFont="1" applyFill="1" applyBorder="1"/>
    <xf numFmtId="0" fontId="1" fillId="10" borderId="23" xfId="0" applyFont="1" applyFill="1" applyBorder="1"/>
    <xf numFmtId="0" fontId="1" fillId="10" borderId="15" xfId="0" applyFont="1" applyFill="1" applyBorder="1"/>
    <xf numFmtId="3" fontId="8" fillId="10" borderId="28" xfId="0" applyNumberFormat="1" applyFont="1" applyFill="1" applyBorder="1" applyAlignment="1">
      <alignment horizontal="center" wrapText="1"/>
    </xf>
    <xf numFmtId="0" fontId="8" fillId="10" borderId="0" xfId="0" applyFont="1" applyFill="1"/>
    <xf numFmtId="0" fontId="1" fillId="10" borderId="17" xfId="0" applyFont="1" applyFill="1" applyBorder="1"/>
    <xf numFmtId="3" fontId="8" fillId="10" borderId="46" xfId="0" applyNumberFormat="1" applyFont="1" applyFill="1" applyBorder="1" applyAlignment="1">
      <alignment horizontal="center" wrapText="1"/>
    </xf>
    <xf numFmtId="0" fontId="1" fillId="10" borderId="9" xfId="0" applyFont="1" applyFill="1" applyBorder="1" applyAlignment="1">
      <alignment wrapText="1"/>
    </xf>
    <xf numFmtId="3" fontId="8" fillId="10" borderId="7" xfId="0" applyNumberFormat="1" applyFont="1" applyFill="1" applyBorder="1" applyAlignment="1">
      <alignment horizontal="center" wrapText="1"/>
    </xf>
    <xf numFmtId="0" fontId="8" fillId="10" borderId="7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wrapText="1"/>
    </xf>
    <xf numFmtId="0" fontId="8" fillId="10" borderId="24" xfId="0" applyFont="1" applyFill="1" applyBorder="1" applyAlignment="1">
      <alignment horizontal="center" wrapText="1"/>
    </xf>
    <xf numFmtId="0" fontId="1" fillId="10" borderId="13" xfId="0" applyFont="1" applyFill="1" applyBorder="1"/>
    <xf numFmtId="3" fontId="8" fillId="10" borderId="48" xfId="0" applyNumberFormat="1" applyFont="1" applyFill="1" applyBorder="1" applyAlignment="1">
      <alignment horizontal="center" wrapText="1"/>
    </xf>
    <xf numFmtId="3" fontId="8" fillId="10" borderId="21" xfId="0" applyNumberFormat="1" applyFont="1" applyFill="1" applyBorder="1" applyAlignment="1">
      <alignment horizontal="center" wrapText="1"/>
    </xf>
    <xf numFmtId="3" fontId="8" fillId="10" borderId="24" xfId="0" applyNumberFormat="1" applyFont="1" applyFill="1" applyBorder="1" applyAlignment="1">
      <alignment horizontal="center" wrapText="1"/>
    </xf>
    <xf numFmtId="0" fontId="1" fillId="10" borderId="48" xfId="0" applyFont="1" applyFill="1" applyBorder="1" applyAlignment="1">
      <alignment wrapText="1"/>
    </xf>
    <xf numFmtId="0" fontId="0" fillId="10" borderId="23" xfId="0" applyFill="1" applyBorder="1" applyAlignment="1">
      <alignment wrapText="1"/>
    </xf>
    <xf numFmtId="0" fontId="0" fillId="10" borderId="49" xfId="0" applyFill="1" applyBorder="1" applyAlignment="1">
      <alignment wrapText="1"/>
    </xf>
    <xf numFmtId="0" fontId="1" fillId="10" borderId="50" xfId="0" applyFont="1" applyFill="1" applyBorder="1" applyAlignment="1">
      <alignment wrapText="1"/>
    </xf>
    <xf numFmtId="0" fontId="0" fillId="10" borderId="9" xfId="0" applyFill="1" applyBorder="1" applyAlignment="1">
      <alignment wrapText="1"/>
    </xf>
    <xf numFmtId="0" fontId="0" fillId="10" borderId="7" xfId="0" applyFill="1" applyBorder="1"/>
    <xf numFmtId="0" fontId="0" fillId="10" borderId="24" xfId="0" applyFill="1" applyBorder="1"/>
    <xf numFmtId="9" fontId="18" fillId="10" borderId="7" xfId="2" applyFont="1" applyFill="1" applyBorder="1"/>
    <xf numFmtId="9" fontId="18" fillId="10" borderId="24" xfId="2" applyFont="1" applyFill="1" applyBorder="1"/>
    <xf numFmtId="0" fontId="8" fillId="10" borderId="39" xfId="0" applyFont="1" applyFill="1" applyBorder="1"/>
    <xf numFmtId="3" fontId="8" fillId="10" borderId="23" xfId="0" applyNumberFormat="1" applyFont="1" applyFill="1" applyBorder="1" applyAlignment="1">
      <alignment horizontal="center" wrapText="1"/>
    </xf>
    <xf numFmtId="3" fontId="8" fillId="10" borderId="9" xfId="0" applyNumberFormat="1" applyFont="1" applyFill="1" applyBorder="1"/>
    <xf numFmtId="3" fontId="8" fillId="10" borderId="18" xfId="0" applyNumberFormat="1" applyFont="1" applyFill="1" applyBorder="1"/>
    <xf numFmtId="3" fontId="8" fillId="10" borderId="19" xfId="0" applyNumberFormat="1" applyFont="1" applyFill="1" applyBorder="1"/>
    <xf numFmtId="3" fontId="8" fillId="10" borderId="7" xfId="0" applyNumberFormat="1" applyFont="1" applyFill="1" applyBorder="1"/>
    <xf numFmtId="3" fontId="8" fillId="10" borderId="24" xfId="0" applyNumberFormat="1" applyFont="1" applyFill="1" applyBorder="1"/>
    <xf numFmtId="3" fontId="8" fillId="10" borderId="29" xfId="0" applyNumberFormat="1" applyFont="1" applyFill="1" applyBorder="1"/>
    <xf numFmtId="3" fontId="8" fillId="10" borderId="40" xfId="0" applyNumberFormat="1" applyFont="1" applyFill="1" applyBorder="1" applyAlignment="1">
      <alignment horizontal="left" vertical="center" wrapText="1"/>
    </xf>
    <xf numFmtId="0" fontId="0" fillId="0" borderId="28" xfId="0" applyBorder="1"/>
    <xf numFmtId="169" fontId="0" fillId="0" borderId="17" xfId="0" applyNumberFormat="1" applyBorder="1"/>
    <xf numFmtId="169" fontId="0" fillId="0" borderId="56" xfId="0" applyNumberFormat="1" applyBorder="1"/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indent="1"/>
    </xf>
    <xf numFmtId="3" fontId="22" fillId="0" borderId="41" xfId="0" applyNumberFormat="1" applyFont="1" applyBorder="1"/>
    <xf numFmtId="0" fontId="23" fillId="0" borderId="0" xfId="0" applyFont="1" applyFill="1" applyBorder="1"/>
    <xf numFmtId="0" fontId="22" fillId="0" borderId="0" xfId="0" applyFont="1"/>
    <xf numFmtId="3" fontId="1" fillId="8" borderId="9" xfId="1" applyNumberFormat="1" applyFont="1" applyFill="1" applyBorder="1"/>
    <xf numFmtId="0" fontId="1" fillId="0" borderId="0" xfId="0" quotePrefix="1" applyFont="1"/>
    <xf numFmtId="0" fontId="8" fillId="0" borderId="0" xfId="5" applyFont="1"/>
    <xf numFmtId="0" fontId="24" fillId="0" borderId="0" xfId="5"/>
    <xf numFmtId="0" fontId="25" fillId="11" borderId="57" xfId="5" applyFont="1" applyFill="1" applyBorder="1"/>
    <xf numFmtId="0" fontId="25" fillId="11" borderId="18" xfId="5" applyFont="1" applyFill="1" applyBorder="1"/>
    <xf numFmtId="0" fontId="25" fillId="11" borderId="21" xfId="5" applyFont="1" applyFill="1" applyBorder="1"/>
    <xf numFmtId="0" fontId="25" fillId="11" borderId="7" xfId="5" applyFont="1" applyFill="1" applyBorder="1"/>
    <xf numFmtId="0" fontId="25" fillId="12" borderId="7" xfId="5" applyFont="1" applyFill="1" applyBorder="1"/>
    <xf numFmtId="0" fontId="24" fillId="12" borderId="7" xfId="5" applyFill="1" applyBorder="1"/>
    <xf numFmtId="0" fontId="24" fillId="10" borderId="7" xfId="5" applyFill="1" applyBorder="1" applyAlignment="1">
      <alignment horizontal="center"/>
    </xf>
    <xf numFmtId="0" fontId="24" fillId="0" borderId="7" xfId="5" applyBorder="1"/>
    <xf numFmtId="3" fontId="24" fillId="0" borderId="7" xfId="5" applyNumberFormat="1" applyBorder="1"/>
    <xf numFmtId="3" fontId="24" fillId="10" borderId="7" xfId="5" applyNumberFormat="1" applyFill="1" applyBorder="1"/>
    <xf numFmtId="0" fontId="25" fillId="10" borderId="57" xfId="5" applyFont="1" applyFill="1" applyBorder="1"/>
    <xf numFmtId="3" fontId="25" fillId="10" borderId="21" xfId="5" applyNumberFormat="1" applyFont="1" applyFill="1" applyBorder="1"/>
    <xf numFmtId="9" fontId="24" fillId="0" borderId="7" xfId="2" applyFont="1" applyBorder="1"/>
    <xf numFmtId="3" fontId="1" fillId="8" borderId="0" xfId="0" applyNumberFormat="1" applyFont="1" applyFill="1"/>
    <xf numFmtId="167" fontId="1" fillId="0" borderId="0" xfId="0" applyNumberFormat="1" applyFont="1"/>
    <xf numFmtId="3" fontId="1" fillId="10" borderId="28" xfId="0" applyNumberFormat="1" applyFont="1" applyFill="1" applyBorder="1" applyAlignment="1">
      <alignment wrapText="1"/>
    </xf>
    <xf numFmtId="2" fontId="0" fillId="0" borderId="12" xfId="0" applyNumberFormat="1" applyBorder="1"/>
    <xf numFmtId="2" fontId="0" fillId="0" borderId="17" xfId="0" applyNumberFormat="1" applyBorder="1"/>
    <xf numFmtId="169" fontId="23" fillId="0" borderId="0" xfId="1" applyNumberFormat="1" applyFont="1"/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10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3" fontId="8" fillId="10" borderId="51" xfId="0" applyNumberFormat="1" applyFont="1" applyFill="1" applyBorder="1" applyAlignment="1">
      <alignment horizontal="center" wrapText="1"/>
    </xf>
    <xf numFmtId="3" fontId="8" fillId="10" borderId="5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8" fillId="10" borderId="22" xfId="0" applyFont="1" applyFill="1" applyBorder="1" applyAlignment="1">
      <alignment horizontal="left"/>
    </xf>
    <xf numFmtId="0" fontId="8" fillId="10" borderId="27" xfId="0" applyFont="1" applyFill="1" applyBorder="1" applyAlignment="1">
      <alignment horizontal="left"/>
    </xf>
    <xf numFmtId="0" fontId="8" fillId="10" borderId="23" xfId="0" applyFont="1" applyFill="1" applyBorder="1" applyAlignment="1">
      <alignment horizontal="left"/>
    </xf>
    <xf numFmtId="3" fontId="8" fillId="10" borderId="46" xfId="0" applyNumberFormat="1" applyFont="1" applyFill="1" applyBorder="1" applyAlignment="1">
      <alignment horizontal="center" wrapText="1"/>
    </xf>
    <xf numFmtId="3" fontId="8" fillId="10" borderId="53" xfId="0" applyNumberFormat="1" applyFont="1" applyFill="1" applyBorder="1" applyAlignment="1">
      <alignment horizontal="center" wrapText="1"/>
    </xf>
    <xf numFmtId="3" fontId="8" fillId="10" borderId="54" xfId="0" applyNumberFormat="1" applyFont="1" applyFill="1" applyBorder="1" applyAlignment="1">
      <alignment horizontal="center" wrapText="1"/>
    </xf>
    <xf numFmtId="3" fontId="8" fillId="10" borderId="55" xfId="0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</cellXfs>
  <cellStyles count="6">
    <cellStyle name="Komma" xfId="1" builtinId="3"/>
    <cellStyle name="Normal" xfId="0" builtinId="0"/>
    <cellStyle name="Normal 2" xfId="5" xr:uid="{00000000-0005-0000-0000-000002000000}"/>
    <cellStyle name="Procent" xfId="2" builtinId="5"/>
    <cellStyle name="Valuta" xfId="3" builtinId="4"/>
    <cellStyle name="Valuta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workbookViewId="0">
      <selection activeCell="B28" sqref="B28"/>
    </sheetView>
  </sheetViews>
  <sheetFormatPr defaultColWidth="9.140625" defaultRowHeight="12.75" x14ac:dyDescent="0.2"/>
  <cols>
    <col min="1" max="1" width="72.140625" style="1" customWidth="1"/>
    <col min="2" max="2" width="11.140625" style="1" bestFit="1" customWidth="1"/>
    <col min="3" max="3" width="9.140625" style="1"/>
    <col min="4" max="4" width="11.140625" style="1" bestFit="1" customWidth="1"/>
    <col min="5" max="16384" width="9.140625" style="1"/>
  </cols>
  <sheetData>
    <row r="1" spans="1:4" x14ac:dyDescent="0.2">
      <c r="A1" s="4" t="s">
        <v>35</v>
      </c>
      <c r="B1" s="2"/>
    </row>
    <row r="3" spans="1:4" x14ac:dyDescent="0.2">
      <c r="A3" s="3" t="s">
        <v>36</v>
      </c>
      <c r="B3" s="2"/>
    </row>
    <row r="5" spans="1:4" x14ac:dyDescent="0.2">
      <c r="A5" s="4" t="s">
        <v>37</v>
      </c>
      <c r="B5" s="2"/>
    </row>
    <row r="6" spans="1:4" x14ac:dyDescent="0.2">
      <c r="A6" s="5" t="s">
        <v>38</v>
      </c>
      <c r="B6" s="6">
        <v>135896640</v>
      </c>
    </row>
    <row r="7" spans="1:4" x14ac:dyDescent="0.2">
      <c r="A7" s="7"/>
      <c r="B7" s="8"/>
    </row>
    <row r="8" spans="1:4" x14ac:dyDescent="0.2">
      <c r="A8" s="7" t="s">
        <v>39</v>
      </c>
      <c r="B8" s="8">
        <v>-7477158</v>
      </c>
    </row>
    <row r="9" spans="1:4" x14ac:dyDescent="0.2">
      <c r="A9" s="7"/>
      <c r="B9" s="8"/>
    </row>
    <row r="10" spans="1:4" x14ac:dyDescent="0.2">
      <c r="A10" s="7" t="s">
        <v>40</v>
      </c>
      <c r="B10" s="8"/>
    </row>
    <row r="11" spans="1:4" x14ac:dyDescent="0.2">
      <c r="A11" s="7" t="s">
        <v>41</v>
      </c>
      <c r="B11" s="8">
        <v>852878</v>
      </c>
    </row>
    <row r="12" spans="1:4" x14ac:dyDescent="0.2">
      <c r="A12" s="7" t="s">
        <v>42</v>
      </c>
      <c r="B12" s="8">
        <v>541328</v>
      </c>
    </row>
    <row r="13" spans="1:4" x14ac:dyDescent="0.2">
      <c r="A13" s="7" t="s">
        <v>43</v>
      </c>
      <c r="B13" s="8">
        <v>0</v>
      </c>
    </row>
    <row r="14" spans="1:4" x14ac:dyDescent="0.2">
      <c r="A14" s="7" t="s">
        <v>44</v>
      </c>
      <c r="B14" s="9"/>
    </row>
    <row r="15" spans="1:4" x14ac:dyDescent="0.2">
      <c r="A15" s="10" t="s">
        <v>45</v>
      </c>
      <c r="B15" s="11">
        <f>SUM(B11:B14)</f>
        <v>1394206</v>
      </c>
      <c r="D15" s="12"/>
    </row>
    <row r="16" spans="1:4" x14ac:dyDescent="0.2">
      <c r="A16" s="5"/>
      <c r="B16" s="13"/>
    </row>
    <row r="17" spans="1:4" x14ac:dyDescent="0.2">
      <c r="A17" s="10" t="s">
        <v>46</v>
      </c>
      <c r="B17" s="11">
        <f>+B6+B8+B15</f>
        <v>129813688</v>
      </c>
      <c r="D17" s="12"/>
    </row>
    <row r="19" spans="1:4" x14ac:dyDescent="0.2">
      <c r="A19" s="4" t="s">
        <v>47</v>
      </c>
      <c r="B19" s="2"/>
    </row>
    <row r="20" spans="1:4" x14ac:dyDescent="0.2">
      <c r="A20" s="14" t="s">
        <v>48</v>
      </c>
      <c r="B20" s="6">
        <v>38391440</v>
      </c>
    </row>
    <row r="21" spans="1:4" x14ac:dyDescent="0.2">
      <c r="A21" s="15"/>
      <c r="B21" s="8"/>
    </row>
    <row r="22" spans="1:4" x14ac:dyDescent="0.2">
      <c r="A22" s="15" t="s">
        <v>49</v>
      </c>
      <c r="B22" s="8"/>
    </row>
    <row r="23" spans="1:4" x14ac:dyDescent="0.2">
      <c r="A23" s="15" t="s">
        <v>50</v>
      </c>
      <c r="B23" s="8">
        <v>-2843040</v>
      </c>
    </row>
    <row r="24" spans="1:4" x14ac:dyDescent="0.2">
      <c r="A24" s="15" t="s">
        <v>51</v>
      </c>
      <c r="B24" s="8">
        <v>-2370240</v>
      </c>
    </row>
    <row r="25" spans="1:4" x14ac:dyDescent="0.2">
      <c r="A25" s="15" t="s">
        <v>52</v>
      </c>
      <c r="B25" s="8">
        <v>-100000</v>
      </c>
    </row>
    <row r="26" spans="1:4" x14ac:dyDescent="0.2">
      <c r="A26" s="15" t="s">
        <v>53</v>
      </c>
      <c r="B26" s="8">
        <v>76930</v>
      </c>
    </row>
    <row r="27" spans="1:4" x14ac:dyDescent="0.2">
      <c r="A27" s="15" t="s">
        <v>61</v>
      </c>
      <c r="B27" s="9"/>
    </row>
    <row r="28" spans="1:4" x14ac:dyDescent="0.2">
      <c r="A28" s="15" t="s">
        <v>54</v>
      </c>
      <c r="B28" s="16">
        <f>SUM(B23:B27)</f>
        <v>-5236350</v>
      </c>
      <c r="D28" s="12"/>
    </row>
    <row r="29" spans="1:4" x14ac:dyDescent="0.2">
      <c r="A29" s="15"/>
      <c r="B29" s="8"/>
    </row>
    <row r="30" spans="1:4" x14ac:dyDescent="0.2">
      <c r="A30" s="17" t="s">
        <v>55</v>
      </c>
      <c r="B30" s="11">
        <v>-1091256</v>
      </c>
    </row>
    <row r="31" spans="1:4" x14ac:dyDescent="0.2">
      <c r="A31" s="14"/>
      <c r="B31" s="13"/>
    </row>
    <row r="32" spans="1:4" x14ac:dyDescent="0.2">
      <c r="A32" s="17" t="s">
        <v>46</v>
      </c>
      <c r="B32" s="11">
        <f>+B20+B28+B30</f>
        <v>32063834</v>
      </c>
    </row>
    <row r="34" spans="1:2" x14ac:dyDescent="0.2">
      <c r="A34" s="18" t="s">
        <v>56</v>
      </c>
      <c r="B34" s="19">
        <f>+B17+B32</f>
        <v>161877522</v>
      </c>
    </row>
    <row r="36" spans="1:2" x14ac:dyDescent="0.2">
      <c r="A36" s="1" t="s">
        <v>57</v>
      </c>
    </row>
    <row r="37" spans="1:2" x14ac:dyDescent="0.2">
      <c r="A37" s="1" t="s">
        <v>58</v>
      </c>
    </row>
  </sheetData>
  <phoneticPr fontId="2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8"/>
  <sheetViews>
    <sheetView tabSelected="1" zoomScaleNormal="100" workbookViewId="0">
      <selection activeCell="G26" sqref="G26"/>
    </sheetView>
  </sheetViews>
  <sheetFormatPr defaultColWidth="9.140625" defaultRowHeight="12.75" x14ac:dyDescent="0.2"/>
  <cols>
    <col min="1" max="1" width="27.28515625" style="22" customWidth="1"/>
    <col min="2" max="2" width="17.7109375" style="22" bestFit="1" customWidth="1"/>
    <col min="3" max="4" width="12.5703125" style="22" bestFit="1" customWidth="1"/>
    <col min="5" max="5" width="13.28515625" style="22" bestFit="1" customWidth="1"/>
    <col min="6" max="6" width="14" style="22" bestFit="1" customWidth="1"/>
    <col min="7" max="7" width="12" style="22" bestFit="1" customWidth="1"/>
    <col min="8" max="8" width="11.140625" style="22" customWidth="1"/>
    <col min="9" max="9" width="15" style="22" bestFit="1" customWidth="1"/>
    <col min="10" max="10" width="12.28515625" style="22" bestFit="1" customWidth="1"/>
    <col min="11" max="11" width="14.140625" style="22" bestFit="1" customWidth="1"/>
    <col min="12" max="12" width="10.85546875" style="22" customWidth="1"/>
    <col min="13" max="13" width="10.140625" style="22" bestFit="1" customWidth="1"/>
    <col min="14" max="14" width="13.5703125" style="22" customWidth="1"/>
    <col min="15" max="15" width="24.42578125" style="22" bestFit="1" customWidth="1"/>
    <col min="16" max="16" width="18.7109375" style="22" bestFit="1" customWidth="1"/>
    <col min="17" max="17" width="10.140625" style="22" bestFit="1" customWidth="1"/>
    <col min="18" max="18" width="9.140625" style="22"/>
    <col min="19" max="19" width="11.85546875" style="22" customWidth="1"/>
    <col min="20" max="20" width="9.140625" style="22"/>
    <col min="21" max="21" width="16" style="22" customWidth="1"/>
    <col min="22" max="16384" width="9.140625" style="22"/>
  </cols>
  <sheetData>
    <row r="1" spans="1:11" ht="18.75" customHeight="1" thickBot="1" x14ac:dyDescent="0.3">
      <c r="A1" s="386" t="s">
        <v>371</v>
      </c>
      <c r="B1" s="386"/>
      <c r="C1" s="386"/>
      <c r="D1" s="386"/>
      <c r="E1" s="386"/>
      <c r="F1" s="386"/>
      <c r="G1" s="386"/>
      <c r="H1" s="386"/>
      <c r="I1" s="386"/>
    </row>
    <row r="2" spans="1:11" x14ac:dyDescent="0.2">
      <c r="A2" s="329" t="s">
        <v>175</v>
      </c>
      <c r="B2" s="303" t="s">
        <v>2</v>
      </c>
      <c r="C2" s="303" t="s">
        <v>3</v>
      </c>
      <c r="D2" s="303" t="s">
        <v>4</v>
      </c>
      <c r="E2" s="303" t="s">
        <v>5</v>
      </c>
      <c r="F2" s="303" t="s">
        <v>1</v>
      </c>
      <c r="G2" s="330" t="s">
        <v>6</v>
      </c>
      <c r="I2" s="307" t="s">
        <v>18</v>
      </c>
    </row>
    <row r="3" spans="1:11" x14ac:dyDescent="0.2">
      <c r="A3" s="42" t="s">
        <v>176</v>
      </c>
      <c r="B3" s="35">
        <f>Elever!K16</f>
        <v>29</v>
      </c>
      <c r="C3" s="35">
        <f>Elever!L16</f>
        <v>21</v>
      </c>
      <c r="D3" s="35">
        <f>Elever!M16</f>
        <v>17</v>
      </c>
      <c r="E3" s="35">
        <f>Elever!N16</f>
        <v>10</v>
      </c>
      <c r="F3" s="35">
        <f>Elever!O16</f>
        <v>19</v>
      </c>
      <c r="G3" s="56">
        <f>Elever!P16</f>
        <v>18</v>
      </c>
      <c r="I3" s="57">
        <f>SUM(B3:G3)</f>
        <v>114</v>
      </c>
    </row>
    <row r="4" spans="1:11" x14ac:dyDescent="0.2">
      <c r="A4" s="42" t="s">
        <v>208</v>
      </c>
      <c r="B4" s="35">
        <f>Elever!C16</f>
        <v>687</v>
      </c>
      <c r="C4" s="35">
        <f>Elever!D16</f>
        <v>489</v>
      </c>
      <c r="D4" s="35">
        <f>Elever!E16</f>
        <v>363</v>
      </c>
      <c r="E4" s="35">
        <f>Elever!F16</f>
        <v>179</v>
      </c>
      <c r="F4" s="35">
        <f>Elever!G16</f>
        <v>428</v>
      </c>
      <c r="G4" s="56">
        <f>Elever!H16</f>
        <v>336</v>
      </c>
      <c r="I4" s="57">
        <f>SUM(B4:G4)</f>
        <v>2482</v>
      </c>
    </row>
    <row r="5" spans="1:11" x14ac:dyDescent="0.2">
      <c r="A5" s="42" t="s">
        <v>177</v>
      </c>
      <c r="B5" s="35">
        <f>SFO!B3</f>
        <v>230</v>
      </c>
      <c r="C5" s="35">
        <f>SFO!C3</f>
        <v>140</v>
      </c>
      <c r="D5" s="35">
        <f>SFO!D3</f>
        <v>100</v>
      </c>
      <c r="E5" s="35">
        <f>SFO!E3</f>
        <v>64</v>
      </c>
      <c r="F5" s="35">
        <f>SFO!F3</f>
        <v>145</v>
      </c>
      <c r="G5" s="56">
        <f>SFO!G3</f>
        <v>135</v>
      </c>
      <c r="I5" s="57">
        <f>SUM(B5:G5)</f>
        <v>814</v>
      </c>
    </row>
    <row r="6" spans="1:11" ht="13.5" thickBot="1" x14ac:dyDescent="0.25">
      <c r="A6" s="58" t="s">
        <v>315</v>
      </c>
      <c r="B6" s="59">
        <f>Elever!C23</f>
        <v>41</v>
      </c>
      <c r="C6" s="59">
        <f>Elever!D23</f>
        <v>33</v>
      </c>
      <c r="D6" s="59">
        <f>Elever!E23</f>
        <v>24</v>
      </c>
      <c r="E6" s="59">
        <f>Elever!F23</f>
        <v>24</v>
      </c>
      <c r="F6" s="59">
        <f>Elever!G23</f>
        <v>37</v>
      </c>
      <c r="G6" s="60">
        <f>Elever!H23</f>
        <v>35</v>
      </c>
      <c r="I6" s="61">
        <f>SUM(B6:G6)</f>
        <v>194</v>
      </c>
    </row>
    <row r="7" spans="1:11" x14ac:dyDescent="0.2">
      <c r="A7" s="26"/>
      <c r="B7" s="35"/>
      <c r="C7" s="35"/>
      <c r="D7" s="35"/>
      <c r="E7" s="35"/>
      <c r="F7" s="35"/>
      <c r="G7" s="35"/>
      <c r="I7" s="35"/>
    </row>
    <row r="8" spans="1:11" ht="13.5" thickBot="1" x14ac:dyDescent="0.25">
      <c r="A8" s="26"/>
      <c r="B8" s="26"/>
      <c r="C8" s="26"/>
      <c r="D8" s="26"/>
      <c r="E8" s="26"/>
      <c r="F8" s="26"/>
      <c r="G8" s="26"/>
      <c r="I8" s="26"/>
    </row>
    <row r="9" spans="1:11" x14ac:dyDescent="0.2">
      <c r="A9" s="329" t="s">
        <v>187</v>
      </c>
      <c r="B9" s="303" t="s">
        <v>2</v>
      </c>
      <c r="C9" s="303" t="s">
        <v>3</v>
      </c>
      <c r="D9" s="303" t="s">
        <v>4</v>
      </c>
      <c r="E9" s="303" t="s">
        <v>5</v>
      </c>
      <c r="F9" s="303" t="s">
        <v>1</v>
      </c>
      <c r="G9" s="330" t="s">
        <v>6</v>
      </c>
      <c r="I9" s="307" t="s">
        <v>18</v>
      </c>
    </row>
    <row r="10" spans="1:11" x14ac:dyDescent="0.2">
      <c r="A10" s="42" t="s">
        <v>19</v>
      </c>
      <c r="B10" s="35">
        <f>Grundtildeling!C9</f>
        <v>4097633.3991882494</v>
      </c>
      <c r="C10" s="35">
        <f>Grundtildeling!E9</f>
        <v>3895954.2020546291</v>
      </c>
      <c r="D10" s="35">
        <f>Grundtildeling!G9</f>
        <v>3795114.6034878194</v>
      </c>
      <c r="E10" s="35">
        <f>Grundtildeling!I9</f>
        <v>2854852.7147295997</v>
      </c>
      <c r="F10" s="35">
        <f>Grundtildeling!K9</f>
        <v>3895954.2020546291</v>
      </c>
      <c r="G10" s="56">
        <f>Grundtildeling!M9</f>
        <v>3795114.6034878194</v>
      </c>
      <c r="I10" s="57">
        <f>SUM(B10:G10)</f>
        <v>22334623.725002743</v>
      </c>
      <c r="J10" s="157"/>
      <c r="K10" s="24"/>
    </row>
    <row r="11" spans="1:11" x14ac:dyDescent="0.2">
      <c r="A11" s="42" t="s">
        <v>119</v>
      </c>
      <c r="B11" s="35">
        <f>'Sociale kriterier'!B9</f>
        <v>642768.77048266947</v>
      </c>
      <c r="C11" s="35">
        <f>'Sociale kriterier'!C9</f>
        <v>1830066.5430336266</v>
      </c>
      <c r="D11" s="35">
        <f>'Sociale kriterier'!D9</f>
        <v>1018886.7409834457</v>
      </c>
      <c r="E11" s="35">
        <f>'Sociale kriterier'!E9</f>
        <v>1004852.4883528196</v>
      </c>
      <c r="F11" s="35">
        <f>'Sociale kriterier'!F9</f>
        <v>1401554.0293785138</v>
      </c>
      <c r="G11" s="56">
        <f>'Sociale kriterier'!G9</f>
        <v>1257469.035704087</v>
      </c>
      <c r="I11" s="57">
        <f>SUM(B11:G11)</f>
        <v>7155597.6079351623</v>
      </c>
      <c r="J11" s="157"/>
    </row>
    <row r="12" spans="1:11" x14ac:dyDescent="0.2">
      <c r="A12" s="42" t="s">
        <v>178</v>
      </c>
      <c r="B12" s="35">
        <f>Klassetildeling!G15</f>
        <v>26611442.765846074</v>
      </c>
      <c r="C12" s="35">
        <f>Klassetildeling!M15</f>
        <v>18909331.614252135</v>
      </c>
      <c r="D12" s="35">
        <f>Klassetildeling!T15</f>
        <v>15324172.353857897</v>
      </c>
      <c r="E12" s="35">
        <f>Klassetildeling!Z15</f>
        <v>9123944.4612470157</v>
      </c>
      <c r="F12" s="35">
        <f>Klassetildeling!AF15</f>
        <v>17037320.37888075</v>
      </c>
      <c r="G12" s="56">
        <f>Klassetildeling!AL15</f>
        <v>15026683.299954003</v>
      </c>
      <c r="I12" s="57">
        <f>SUM(B12:G12)</f>
        <v>102032894.87403788</v>
      </c>
      <c r="J12" s="157"/>
    </row>
    <row r="13" spans="1:11" x14ac:dyDescent="0.2">
      <c r="A13" s="331" t="s">
        <v>220</v>
      </c>
      <c r="B13" s="334">
        <f t="shared" ref="B13:G13" si="0">SUM(B10:B12)</f>
        <v>31351844.935516991</v>
      </c>
      <c r="C13" s="334">
        <f t="shared" si="0"/>
        <v>24635352.359340392</v>
      </c>
      <c r="D13" s="334">
        <f t="shared" si="0"/>
        <v>20138173.698329162</v>
      </c>
      <c r="E13" s="334">
        <f t="shared" si="0"/>
        <v>12983649.664329436</v>
      </c>
      <c r="F13" s="334">
        <f t="shared" si="0"/>
        <v>22334828.610313892</v>
      </c>
      <c r="G13" s="334">
        <f t="shared" si="0"/>
        <v>20079266.939145908</v>
      </c>
      <c r="I13" s="336">
        <f>SUM(B13:G13)</f>
        <v>131523116.20697579</v>
      </c>
      <c r="J13" s="370" t="s">
        <v>364</v>
      </c>
    </row>
    <row r="14" spans="1:11" x14ac:dyDescent="0.2">
      <c r="A14" s="331" t="s">
        <v>360</v>
      </c>
      <c r="B14" s="334">
        <v>31260200</v>
      </c>
      <c r="C14" s="334">
        <v>25424900</v>
      </c>
      <c r="D14" s="334">
        <v>21492700</v>
      </c>
      <c r="E14" s="334">
        <v>13069600</v>
      </c>
      <c r="F14" s="334">
        <v>22214200</v>
      </c>
      <c r="G14" s="335">
        <v>20337600</v>
      </c>
      <c r="I14" s="336">
        <f>SUM(B14:G14)</f>
        <v>133799200</v>
      </c>
      <c r="J14" s="370" t="s">
        <v>365</v>
      </c>
    </row>
    <row r="15" spans="1:11" x14ac:dyDescent="0.2">
      <c r="A15" s="331" t="s">
        <v>267</v>
      </c>
      <c r="B15" s="334">
        <f t="shared" ref="B15:I15" si="1">B13-B14</f>
        <v>91644.935516990721</v>
      </c>
      <c r="C15" s="334">
        <f t="shared" si="1"/>
        <v>-789547.64065960795</v>
      </c>
      <c r="D15" s="334">
        <f t="shared" si="1"/>
        <v>-1354526.3016708381</v>
      </c>
      <c r="E15" s="334">
        <f>E13-E14</f>
        <v>-85950.335670564324</v>
      </c>
      <c r="F15" s="334">
        <f>F13-F14</f>
        <v>120628.61031389236</v>
      </c>
      <c r="G15" s="335">
        <f t="shared" si="1"/>
        <v>-258333.06085409224</v>
      </c>
      <c r="I15" s="336">
        <f t="shared" si="1"/>
        <v>-2276083.7930242121</v>
      </c>
      <c r="J15" s="157"/>
    </row>
    <row r="16" spans="1:11" x14ac:dyDescent="0.2">
      <c r="A16" s="331" t="s">
        <v>363</v>
      </c>
      <c r="B16" s="334">
        <f>5/12*B15</f>
        <v>38185.389798746139</v>
      </c>
      <c r="C16" s="334">
        <f t="shared" ref="C16:G16" si="2">5/12*C15</f>
        <v>-328978.18360817002</v>
      </c>
      <c r="D16" s="334">
        <f t="shared" si="2"/>
        <v>-564385.95902951597</v>
      </c>
      <c r="E16" s="334">
        <f t="shared" si="2"/>
        <v>-35812.639862735137</v>
      </c>
      <c r="F16" s="334">
        <f t="shared" si="2"/>
        <v>50261.920964121819</v>
      </c>
      <c r="G16" s="335">
        <f t="shared" si="2"/>
        <v>-107638.77535587177</v>
      </c>
      <c r="I16" s="336">
        <f>SUM(B16:G16)</f>
        <v>-948368.24709342502</v>
      </c>
      <c r="J16" s="157"/>
    </row>
    <row r="17" spans="1:22" x14ac:dyDescent="0.2">
      <c r="A17" s="42"/>
      <c r="B17" s="35"/>
      <c r="C17" s="35"/>
      <c r="D17" s="35"/>
      <c r="E17" s="35"/>
      <c r="F17" s="35"/>
      <c r="G17" s="56"/>
      <c r="I17" s="57"/>
      <c r="J17" s="157"/>
      <c r="O17" s="26"/>
      <c r="P17" s="26"/>
      <c r="Q17" s="26"/>
    </row>
    <row r="18" spans="1:22" x14ac:dyDescent="0.2">
      <c r="A18" s="62" t="s">
        <v>174</v>
      </c>
      <c r="B18" s="63">
        <f>SFO!B8</f>
        <v>3848675.1836315324</v>
      </c>
      <c r="C18" s="63">
        <f>SFO!C8</f>
        <v>2342671.8509061504</v>
      </c>
      <c r="D18" s="63">
        <f>SFO!D8</f>
        <v>1673337.0363615358</v>
      </c>
      <c r="E18" s="63">
        <f>SFO!E8</f>
        <v>1070935.703271383</v>
      </c>
      <c r="F18" s="63">
        <f>SFO!F8</f>
        <v>2426338.7027242272</v>
      </c>
      <c r="G18" s="64">
        <f>SFO!G8</f>
        <v>2259004.9990880736</v>
      </c>
      <c r="I18" s="57">
        <f>SUM(B18:G18)</f>
        <v>13620963.475982903</v>
      </c>
      <c r="J18" s="157"/>
      <c r="L18" s="35"/>
      <c r="M18" s="35"/>
      <c r="N18" s="35"/>
      <c r="O18" s="35"/>
      <c r="P18" s="35"/>
      <c r="Q18" s="35"/>
    </row>
    <row r="19" spans="1:22" x14ac:dyDescent="0.2">
      <c r="A19" s="42" t="s">
        <v>200</v>
      </c>
      <c r="B19" s="35">
        <f>SFO!B19</f>
        <v>538544.87278016249</v>
      </c>
      <c r="C19" s="35">
        <f>SFO!C19</f>
        <v>433462.94638403325</v>
      </c>
      <c r="D19" s="35">
        <f>SFO!D19</f>
        <v>315245.77918838779</v>
      </c>
      <c r="E19" s="35">
        <f>SFO!E19</f>
        <v>315245.77918838779</v>
      </c>
      <c r="F19" s="35">
        <f>SFO!F19</f>
        <v>486003.9095820979</v>
      </c>
      <c r="G19" s="56">
        <f>SFO!G19</f>
        <v>459733.4279830656</v>
      </c>
      <c r="I19" s="57">
        <f>SUM(B19:G19)</f>
        <v>2548236.7151061348</v>
      </c>
      <c r="J19" s="157"/>
      <c r="L19" s="35"/>
      <c r="M19" s="35"/>
      <c r="N19" s="35"/>
      <c r="O19" s="35"/>
      <c r="P19" s="35"/>
      <c r="Q19" s="35"/>
    </row>
    <row r="20" spans="1:22" x14ac:dyDescent="0.2">
      <c r="A20" s="331" t="s">
        <v>218</v>
      </c>
      <c r="B20" s="332">
        <f t="shared" ref="B20:G20" si="3">SUM(B18:B19)</f>
        <v>4387220.0564116947</v>
      </c>
      <c r="C20" s="332">
        <f t="shared" si="3"/>
        <v>2776134.7972901836</v>
      </c>
      <c r="D20" s="332">
        <f t="shared" si="3"/>
        <v>1988582.8155499236</v>
      </c>
      <c r="E20" s="332">
        <f t="shared" si="3"/>
        <v>1386181.4824597707</v>
      </c>
      <c r="F20" s="332">
        <f t="shared" si="3"/>
        <v>2912342.6123063252</v>
      </c>
      <c r="G20" s="333">
        <f t="shared" si="3"/>
        <v>2718738.4270711392</v>
      </c>
      <c r="I20" s="336">
        <f>SUM(B20:G20)</f>
        <v>16169200.191089036</v>
      </c>
      <c r="J20" s="157"/>
    </row>
    <row r="21" spans="1:22" ht="13.5" thickBot="1" x14ac:dyDescent="0.25">
      <c r="A21" s="42"/>
      <c r="B21" s="35"/>
      <c r="C21" s="35"/>
      <c r="D21" s="35"/>
      <c r="E21" s="35"/>
      <c r="F21" s="35"/>
      <c r="G21" s="56"/>
      <c r="I21" s="61"/>
      <c r="J21" s="157"/>
      <c r="O21" s="26"/>
      <c r="P21" s="26"/>
      <c r="Q21" s="26"/>
    </row>
    <row r="22" spans="1:22" ht="27" customHeight="1" thickBot="1" x14ac:dyDescent="0.25">
      <c r="A22" s="337" t="s">
        <v>230</v>
      </c>
      <c r="B22" s="332">
        <f t="shared" ref="B22:G22" si="4">B13+B18</f>
        <v>35200520.119148523</v>
      </c>
      <c r="C22" s="332">
        <f t="shared" si="4"/>
        <v>26978024.210246541</v>
      </c>
      <c r="D22" s="332">
        <f t="shared" si="4"/>
        <v>21811510.734690696</v>
      </c>
      <c r="E22" s="332">
        <f t="shared" si="4"/>
        <v>14054585.367600819</v>
      </c>
      <c r="F22" s="332">
        <f t="shared" si="4"/>
        <v>24761167.313038118</v>
      </c>
      <c r="G22" s="333">
        <f t="shared" si="4"/>
        <v>22338271.938233983</v>
      </c>
      <c r="I22" s="336">
        <f>SUM(B22:G22)</f>
        <v>145144079.68295866</v>
      </c>
      <c r="J22" s="157"/>
      <c r="L22" s="35"/>
      <c r="M22" s="35"/>
      <c r="N22" s="35"/>
      <c r="O22" s="35"/>
      <c r="P22" s="35"/>
      <c r="Q22" s="35"/>
    </row>
    <row r="23" spans="1:22" x14ac:dyDescent="0.2">
      <c r="A23" s="43"/>
      <c r="B23" s="65"/>
      <c r="C23" s="65"/>
      <c r="D23" s="65"/>
      <c r="E23" s="65"/>
      <c r="F23" s="65"/>
      <c r="G23" s="66"/>
      <c r="I23" s="67"/>
      <c r="J23" s="157"/>
      <c r="L23" s="35"/>
      <c r="M23" s="35"/>
      <c r="N23" s="35"/>
      <c r="O23" s="35"/>
      <c r="P23" s="35"/>
      <c r="Q23" s="35"/>
    </row>
    <row r="24" spans="1:22" ht="27" customHeight="1" thickBot="1" x14ac:dyDescent="0.25">
      <c r="A24" s="44" t="s">
        <v>219</v>
      </c>
      <c r="B24" s="68">
        <f t="shared" ref="B24:G24" si="5">B13+B20</f>
        <v>35739064.991928682</v>
      </c>
      <c r="C24" s="68">
        <f t="shared" si="5"/>
        <v>27411487.156630576</v>
      </c>
      <c r="D24" s="68">
        <f t="shared" si="5"/>
        <v>22126756.513879087</v>
      </c>
      <c r="E24" s="68">
        <f t="shared" si="5"/>
        <v>14369831.146789206</v>
      </c>
      <c r="F24" s="68">
        <f t="shared" si="5"/>
        <v>25247171.222620219</v>
      </c>
      <c r="G24" s="174">
        <f t="shared" si="5"/>
        <v>22798005.366217047</v>
      </c>
      <c r="I24" s="69">
        <f>I13+I20</f>
        <v>147692316.39806482</v>
      </c>
      <c r="J24" s="157"/>
      <c r="K24" s="24"/>
    </row>
    <row r="25" spans="1:22" x14ac:dyDescent="0.2">
      <c r="A25" s="26"/>
      <c r="B25" s="35"/>
      <c r="C25" s="35"/>
      <c r="D25" s="35"/>
      <c r="E25" s="25"/>
      <c r="F25" s="35"/>
      <c r="G25" s="35"/>
      <c r="I25" s="25"/>
      <c r="J25" s="35"/>
      <c r="M25" s="26"/>
      <c r="N25" s="35"/>
      <c r="O25" s="35"/>
      <c r="P25" s="35"/>
      <c r="Q25" s="35"/>
      <c r="R25" s="35"/>
      <c r="S25" s="25"/>
      <c r="T25" s="35"/>
      <c r="U25" s="25"/>
      <c r="V25" s="35"/>
    </row>
    <row r="27" spans="1:22" x14ac:dyDescent="0.2">
      <c r="A27" s="350" t="s">
        <v>362</v>
      </c>
      <c r="B27" s="351"/>
      <c r="C27" s="351"/>
      <c r="D27" s="351"/>
    </row>
    <row r="28" spans="1:22" ht="15" x14ac:dyDescent="0.25">
      <c r="A28" s="352" t="s">
        <v>366</v>
      </c>
      <c r="B28" s="353"/>
      <c r="C28" s="354"/>
      <c r="D28" s="355"/>
      <c r="E28" s="355"/>
      <c r="F28" s="355"/>
    </row>
    <row r="29" spans="1:22" ht="15" x14ac:dyDescent="0.25">
      <c r="A29" s="356" t="s">
        <v>353</v>
      </c>
      <c r="B29" s="357" t="s">
        <v>261</v>
      </c>
      <c r="C29" s="357" t="s">
        <v>348</v>
      </c>
      <c r="D29" s="358" t="s">
        <v>367</v>
      </c>
      <c r="E29" s="358" t="s">
        <v>370</v>
      </c>
      <c r="F29" s="358" t="s">
        <v>18</v>
      </c>
    </row>
    <row r="30" spans="1:22" x14ac:dyDescent="0.2">
      <c r="A30" s="359" t="s">
        <v>349</v>
      </c>
      <c r="B30" s="360">
        <f>Elever!K16</f>
        <v>29</v>
      </c>
      <c r="C30" s="364">
        <f>B30/$B$36</f>
        <v>0.25438596491228072</v>
      </c>
      <c r="D30" s="361">
        <f t="shared" ref="D30:D35" si="6">$B$37*C30</f>
        <v>764684.21052631584</v>
      </c>
      <c r="E30" s="361">
        <f>$B$38*C30</f>
        <v>324189.47368421056</v>
      </c>
      <c r="F30" s="361">
        <f>D30+E30</f>
        <v>1088873.6842105263</v>
      </c>
    </row>
    <row r="31" spans="1:22" x14ac:dyDescent="0.2">
      <c r="A31" s="359" t="s">
        <v>350</v>
      </c>
      <c r="B31" s="360">
        <f>Elever!M16</f>
        <v>17</v>
      </c>
      <c r="C31" s="364">
        <f t="shared" ref="C31:C35" si="7">B31/$B$36</f>
        <v>0.14912280701754385</v>
      </c>
      <c r="D31" s="361">
        <f t="shared" si="6"/>
        <v>448263.1578947368</v>
      </c>
      <c r="E31" s="361">
        <f t="shared" ref="E31:E35" si="8">$B$38*C31</f>
        <v>190042.10526315789</v>
      </c>
      <c r="F31" s="361">
        <f t="shared" ref="F31:F35" si="9">D31+E31</f>
        <v>638305.26315789472</v>
      </c>
    </row>
    <row r="32" spans="1:22" x14ac:dyDescent="0.2">
      <c r="A32" s="359" t="s">
        <v>60</v>
      </c>
      <c r="B32" s="360">
        <f>Elever!L16</f>
        <v>21</v>
      </c>
      <c r="C32" s="364">
        <f t="shared" si="7"/>
        <v>0.18421052631578946</v>
      </c>
      <c r="D32" s="361">
        <f t="shared" si="6"/>
        <v>553736.84210526315</v>
      </c>
      <c r="E32" s="361">
        <f t="shared" si="8"/>
        <v>234757.89473684208</v>
      </c>
      <c r="F32" s="361">
        <f t="shared" si="9"/>
        <v>788494.73684210517</v>
      </c>
    </row>
    <row r="33" spans="1:6" x14ac:dyDescent="0.2">
      <c r="A33" s="359" t="s">
        <v>351</v>
      </c>
      <c r="B33" s="360">
        <f>Elever!N16</f>
        <v>10</v>
      </c>
      <c r="C33" s="364">
        <f t="shared" si="7"/>
        <v>8.771929824561403E-2</v>
      </c>
      <c r="D33" s="361">
        <f t="shared" si="6"/>
        <v>263684.21052631579</v>
      </c>
      <c r="E33" s="361">
        <f t="shared" si="8"/>
        <v>111789.47368421052</v>
      </c>
      <c r="F33" s="361">
        <f t="shared" si="9"/>
        <v>375473.68421052629</v>
      </c>
    </row>
    <row r="34" spans="1:6" x14ac:dyDescent="0.2">
      <c r="A34" s="359" t="s">
        <v>288</v>
      </c>
      <c r="B34" s="360">
        <f>Elever!O16</f>
        <v>19</v>
      </c>
      <c r="C34" s="364">
        <f t="shared" si="7"/>
        <v>0.16666666666666666</v>
      </c>
      <c r="D34" s="361">
        <f t="shared" si="6"/>
        <v>501000</v>
      </c>
      <c r="E34" s="361">
        <f t="shared" si="8"/>
        <v>212400</v>
      </c>
      <c r="F34" s="361">
        <f t="shared" si="9"/>
        <v>713400</v>
      </c>
    </row>
    <row r="35" spans="1:6" x14ac:dyDescent="0.2">
      <c r="A35" s="359" t="s">
        <v>352</v>
      </c>
      <c r="B35" s="360">
        <f>Elever!P16</f>
        <v>18</v>
      </c>
      <c r="C35" s="364">
        <f t="shared" si="7"/>
        <v>0.15789473684210525</v>
      </c>
      <c r="D35" s="361">
        <f t="shared" si="6"/>
        <v>474631.57894736837</v>
      </c>
      <c r="E35" s="361">
        <f t="shared" si="8"/>
        <v>201221.05263157893</v>
      </c>
      <c r="F35" s="361">
        <f t="shared" si="9"/>
        <v>675852.6315789473</v>
      </c>
    </row>
    <row r="36" spans="1:6" x14ac:dyDescent="0.2">
      <c r="A36" s="359" t="s">
        <v>18</v>
      </c>
      <c r="B36" s="360">
        <f>SUM(B30:B35)</f>
        <v>114</v>
      </c>
      <c r="C36" s="364">
        <f>SUM(C30:C35)</f>
        <v>1</v>
      </c>
      <c r="D36" s="361">
        <f>SUM(D30:D35)</f>
        <v>3006000</v>
      </c>
      <c r="E36" s="361">
        <f>SUM(E30:E35)</f>
        <v>1274400</v>
      </c>
      <c r="F36" s="361">
        <f>SUM(F30:F35)</f>
        <v>4280400</v>
      </c>
    </row>
    <row r="37" spans="1:6" ht="15" x14ac:dyDescent="0.25">
      <c r="A37" s="362" t="s">
        <v>368</v>
      </c>
      <c r="B37" s="363">
        <v>3006000</v>
      </c>
      <c r="C37" s="351"/>
      <c r="D37" s="351"/>
    </row>
    <row r="38" spans="1:6" ht="15" x14ac:dyDescent="0.25">
      <c r="A38" s="362" t="s">
        <v>369</v>
      </c>
      <c r="B38" s="363">
        <v>1274400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Z108"/>
  <sheetViews>
    <sheetView workbookViewId="0">
      <selection activeCell="D67" sqref="D67"/>
    </sheetView>
  </sheetViews>
  <sheetFormatPr defaultRowHeight="12.75" x14ac:dyDescent="0.2"/>
  <sheetData>
    <row r="4" spans="3:26" x14ac:dyDescent="0.2">
      <c r="C4" s="22" t="s">
        <v>208</v>
      </c>
      <c r="L4" s="22" t="s">
        <v>176</v>
      </c>
      <c r="T4" s="22" t="s">
        <v>305</v>
      </c>
    </row>
    <row r="5" spans="3:26" x14ac:dyDescent="0.2">
      <c r="C5" s="175"/>
      <c r="D5" s="175" t="str">
        <f>Elever!C4</f>
        <v>FRB</v>
      </c>
      <c r="E5" s="175" t="str">
        <f>Elever!D4</f>
        <v>HOL</v>
      </c>
      <c r="F5" s="175" t="str">
        <f>Elever!E4</f>
        <v>PED</v>
      </c>
      <c r="G5" s="175" t="str">
        <f>Elever!F4</f>
        <v>RVE</v>
      </c>
      <c r="H5" s="175" t="str">
        <f>Elever!G4</f>
        <v>BOR</v>
      </c>
      <c r="I5" s="175" t="str">
        <f>Elever!H4</f>
        <v>STL</v>
      </c>
      <c r="J5" s="175" t="str">
        <f>Elever!I4</f>
        <v>I alt</v>
      </c>
      <c r="K5" s="175"/>
      <c r="L5" s="175" t="s">
        <v>2</v>
      </c>
      <c r="M5" s="175" t="s">
        <v>3</v>
      </c>
      <c r="N5" s="175" t="s">
        <v>4</v>
      </c>
      <c r="O5" s="175" t="s">
        <v>5</v>
      </c>
      <c r="P5" s="175" t="s">
        <v>1</v>
      </c>
      <c r="Q5" s="175" t="s">
        <v>6</v>
      </c>
      <c r="R5" s="175" t="s">
        <v>18</v>
      </c>
      <c r="T5" s="175" t="s">
        <v>2</v>
      </c>
      <c r="U5" s="175" t="s">
        <v>3</v>
      </c>
      <c r="V5" s="175" t="s">
        <v>4</v>
      </c>
      <c r="W5" s="175" t="s">
        <v>5</v>
      </c>
      <c r="X5" s="175" t="s">
        <v>1</v>
      </c>
      <c r="Y5" s="175" t="s">
        <v>6</v>
      </c>
      <c r="Z5" s="175"/>
    </row>
    <row r="6" spans="3:26" x14ac:dyDescent="0.2">
      <c r="C6" s="175" t="str">
        <f>Elever!A5</f>
        <v>0.</v>
      </c>
      <c r="D6" s="175">
        <f>Elever!C5</f>
        <v>78</v>
      </c>
      <c r="E6" s="175">
        <f>Elever!D5</f>
        <v>55</v>
      </c>
      <c r="F6" s="175">
        <f>Elever!E5</f>
        <v>35</v>
      </c>
      <c r="G6" s="175">
        <f>Elever!F5</f>
        <v>22</v>
      </c>
      <c r="H6" s="175">
        <f>Elever!G5</f>
        <v>54</v>
      </c>
      <c r="I6" s="175">
        <f>Elever!H5</f>
        <v>35</v>
      </c>
      <c r="J6" s="175">
        <f>Elever!I5</f>
        <v>279</v>
      </c>
      <c r="K6" s="175"/>
      <c r="L6" s="175">
        <f t="shared" ref="L6:L15" si="0">ROUNDUP(D6/28,0)</f>
        <v>3</v>
      </c>
      <c r="M6" s="175">
        <f t="shared" ref="M6:M15" si="1">ROUNDUP(E6/28,0)</f>
        <v>2</v>
      </c>
      <c r="N6" s="175">
        <f t="shared" ref="N6:N15" si="2">ROUNDUP(F6/28,0)</f>
        <v>2</v>
      </c>
      <c r="O6" s="175">
        <f t="shared" ref="O6:O15" si="3">ROUNDUP(G6/28,0)</f>
        <v>1</v>
      </c>
      <c r="P6" s="175">
        <f t="shared" ref="P6:P15" si="4">ROUNDUP(H6/28,0)</f>
        <v>2</v>
      </c>
      <c r="Q6" s="175">
        <f t="shared" ref="Q6:Q15" si="5">ROUNDUP(I6/28,0)</f>
        <v>2</v>
      </c>
      <c r="R6" s="175">
        <f t="shared" ref="R6:R15" si="6">SUM(L6:Q6)</f>
        <v>12</v>
      </c>
      <c r="T6" s="176">
        <f t="shared" ref="T6:T15" si="7">D6/L6</f>
        <v>26</v>
      </c>
      <c r="U6" s="176">
        <f t="shared" ref="U6:U15" si="8">E6/M6</f>
        <v>27.5</v>
      </c>
      <c r="V6" s="176">
        <f t="shared" ref="V6:V15" si="9">F6/N6</f>
        <v>17.5</v>
      </c>
      <c r="W6" s="176">
        <f t="shared" ref="W6:W15" si="10">G6/O6</f>
        <v>22</v>
      </c>
      <c r="X6" s="176">
        <f t="shared" ref="X6:X15" si="11">H6/P6</f>
        <v>27</v>
      </c>
      <c r="Y6" s="176">
        <f t="shared" ref="Y6:Y15" si="12">I6/Q6</f>
        <v>17.5</v>
      </c>
    </row>
    <row r="7" spans="3:26" x14ac:dyDescent="0.2">
      <c r="C7" s="175" t="str">
        <f>Elever!A6</f>
        <v>1.</v>
      </c>
      <c r="D7" s="175">
        <f>Elever!C6</f>
        <v>63</v>
      </c>
      <c r="E7" s="175">
        <f>Elever!D6</f>
        <v>35</v>
      </c>
      <c r="F7" s="175">
        <f>Elever!E6</f>
        <v>25</v>
      </c>
      <c r="G7" s="175">
        <f>Elever!F6</f>
        <v>9</v>
      </c>
      <c r="H7" s="175">
        <f>Elever!G6</f>
        <v>28</v>
      </c>
      <c r="I7" s="175">
        <f>Elever!H6</f>
        <v>31</v>
      </c>
      <c r="J7" s="175">
        <f>Elever!I6</f>
        <v>191</v>
      </c>
      <c r="K7" s="175"/>
      <c r="L7" s="175">
        <f t="shared" si="0"/>
        <v>3</v>
      </c>
      <c r="M7" s="175">
        <f t="shared" si="1"/>
        <v>2</v>
      </c>
      <c r="N7" s="175">
        <f t="shared" si="2"/>
        <v>1</v>
      </c>
      <c r="O7" s="175">
        <f t="shared" si="3"/>
        <v>1</v>
      </c>
      <c r="P7" s="175">
        <f t="shared" si="4"/>
        <v>1</v>
      </c>
      <c r="Q7" s="175">
        <f t="shared" si="5"/>
        <v>2</v>
      </c>
      <c r="R7" s="175">
        <f t="shared" si="6"/>
        <v>10</v>
      </c>
      <c r="T7" s="176">
        <f t="shared" si="7"/>
        <v>21</v>
      </c>
      <c r="U7" s="176">
        <f t="shared" si="8"/>
        <v>17.5</v>
      </c>
      <c r="V7" s="176">
        <f t="shared" si="9"/>
        <v>25</v>
      </c>
      <c r="W7" s="176">
        <f t="shared" si="10"/>
        <v>9</v>
      </c>
      <c r="X7" s="176">
        <f t="shared" si="11"/>
        <v>28</v>
      </c>
      <c r="Y7" s="176">
        <f t="shared" si="12"/>
        <v>15.5</v>
      </c>
    </row>
    <row r="8" spans="3:26" x14ac:dyDescent="0.2">
      <c r="C8" s="175" t="str">
        <f>Elever!A7</f>
        <v>2.</v>
      </c>
      <c r="D8" s="175">
        <f>Elever!C7</f>
        <v>63</v>
      </c>
      <c r="E8" s="175">
        <f>Elever!D7</f>
        <v>48</v>
      </c>
      <c r="F8" s="175">
        <f>Elever!E7</f>
        <v>24</v>
      </c>
      <c r="G8" s="175">
        <f>Elever!F7</f>
        <v>17</v>
      </c>
      <c r="H8" s="175">
        <f>Elever!G7</f>
        <v>44</v>
      </c>
      <c r="I8" s="175">
        <f>Elever!H7</f>
        <v>35</v>
      </c>
      <c r="J8" s="175">
        <f>Elever!I7</f>
        <v>231</v>
      </c>
      <c r="K8" s="175"/>
      <c r="L8" s="175">
        <f t="shared" si="0"/>
        <v>3</v>
      </c>
      <c r="M8" s="175">
        <f t="shared" si="1"/>
        <v>2</v>
      </c>
      <c r="N8" s="175">
        <f t="shared" si="2"/>
        <v>1</v>
      </c>
      <c r="O8" s="175">
        <f t="shared" si="3"/>
        <v>1</v>
      </c>
      <c r="P8" s="175">
        <f t="shared" si="4"/>
        <v>2</v>
      </c>
      <c r="Q8" s="175">
        <f t="shared" si="5"/>
        <v>2</v>
      </c>
      <c r="R8" s="175">
        <f t="shared" si="6"/>
        <v>11</v>
      </c>
      <c r="T8" s="176">
        <f t="shared" si="7"/>
        <v>21</v>
      </c>
      <c r="U8" s="176">
        <f t="shared" si="8"/>
        <v>24</v>
      </c>
      <c r="V8" s="176">
        <f t="shared" si="9"/>
        <v>24</v>
      </c>
      <c r="W8" s="176">
        <f t="shared" si="10"/>
        <v>17</v>
      </c>
      <c r="X8" s="176">
        <f t="shared" si="11"/>
        <v>22</v>
      </c>
      <c r="Y8" s="176">
        <f t="shared" si="12"/>
        <v>17.5</v>
      </c>
    </row>
    <row r="9" spans="3:26" x14ac:dyDescent="0.2">
      <c r="C9" s="175" t="str">
        <f>Elever!A8</f>
        <v>3.</v>
      </c>
      <c r="D9" s="175">
        <f>Elever!C8</f>
        <v>49</v>
      </c>
      <c r="E9" s="175">
        <f>Elever!D8</f>
        <v>45</v>
      </c>
      <c r="F9" s="175">
        <f>Elever!E8</f>
        <v>28</v>
      </c>
      <c r="G9" s="175">
        <f>Elever!F8</f>
        <v>14</v>
      </c>
      <c r="H9" s="175">
        <f>Elever!G8</f>
        <v>43</v>
      </c>
      <c r="I9" s="175">
        <f>Elever!H8</f>
        <v>28</v>
      </c>
      <c r="J9" s="175">
        <f>Elever!I8</f>
        <v>207</v>
      </c>
      <c r="K9" s="175"/>
      <c r="L9" s="175">
        <f t="shared" si="0"/>
        <v>2</v>
      </c>
      <c r="M9" s="175">
        <f t="shared" si="1"/>
        <v>2</v>
      </c>
      <c r="N9" s="175">
        <f t="shared" si="2"/>
        <v>1</v>
      </c>
      <c r="O9" s="175">
        <f t="shared" si="3"/>
        <v>1</v>
      </c>
      <c r="P9" s="175">
        <f t="shared" si="4"/>
        <v>2</v>
      </c>
      <c r="Q9" s="175">
        <f t="shared" si="5"/>
        <v>1</v>
      </c>
      <c r="R9" s="175">
        <f t="shared" si="6"/>
        <v>9</v>
      </c>
      <c r="T9" s="176">
        <f t="shared" si="7"/>
        <v>24.5</v>
      </c>
      <c r="U9" s="176">
        <f t="shared" si="8"/>
        <v>22.5</v>
      </c>
      <c r="V9" s="176">
        <f t="shared" si="9"/>
        <v>28</v>
      </c>
      <c r="W9" s="176">
        <f t="shared" si="10"/>
        <v>14</v>
      </c>
      <c r="X9" s="176">
        <f t="shared" si="11"/>
        <v>21.5</v>
      </c>
      <c r="Y9" s="176">
        <f t="shared" si="12"/>
        <v>28</v>
      </c>
    </row>
    <row r="10" spans="3:26" x14ac:dyDescent="0.2">
      <c r="C10" s="175" t="str">
        <f>Elever!A9</f>
        <v>4.</v>
      </c>
      <c r="D10" s="175">
        <f>Elever!C9</f>
        <v>68</v>
      </c>
      <c r="E10" s="175">
        <f>Elever!D9</f>
        <v>38</v>
      </c>
      <c r="F10" s="175">
        <f>Elever!E9</f>
        <v>32</v>
      </c>
      <c r="G10" s="175">
        <f>Elever!F9</f>
        <v>22</v>
      </c>
      <c r="H10" s="175">
        <f>Elever!G9</f>
        <v>37</v>
      </c>
      <c r="I10" s="175">
        <f>Elever!H9</f>
        <v>36</v>
      </c>
      <c r="J10" s="175">
        <f>Elever!I9</f>
        <v>233</v>
      </c>
      <c r="K10" s="175"/>
      <c r="L10" s="175">
        <f t="shared" si="0"/>
        <v>3</v>
      </c>
      <c r="M10" s="175">
        <f t="shared" si="1"/>
        <v>2</v>
      </c>
      <c r="N10" s="175">
        <f t="shared" si="2"/>
        <v>2</v>
      </c>
      <c r="O10" s="175">
        <f t="shared" si="3"/>
        <v>1</v>
      </c>
      <c r="P10" s="175">
        <f t="shared" si="4"/>
        <v>2</v>
      </c>
      <c r="Q10" s="175">
        <f t="shared" si="5"/>
        <v>2</v>
      </c>
      <c r="R10" s="175">
        <f t="shared" si="6"/>
        <v>12</v>
      </c>
      <c r="T10" s="176">
        <f t="shared" si="7"/>
        <v>22.666666666666668</v>
      </c>
      <c r="U10" s="176">
        <f t="shared" si="8"/>
        <v>19</v>
      </c>
      <c r="V10" s="176">
        <f t="shared" si="9"/>
        <v>16</v>
      </c>
      <c r="W10" s="176">
        <f t="shared" si="10"/>
        <v>22</v>
      </c>
      <c r="X10" s="176">
        <f t="shared" si="11"/>
        <v>18.5</v>
      </c>
      <c r="Y10" s="176">
        <f t="shared" si="12"/>
        <v>18</v>
      </c>
    </row>
    <row r="11" spans="3:26" x14ac:dyDescent="0.2">
      <c r="C11" s="175" t="str">
        <f>Elever!A10</f>
        <v>5.</v>
      </c>
      <c r="D11" s="175">
        <f>Elever!C10</f>
        <v>68</v>
      </c>
      <c r="E11" s="175">
        <f>Elever!D10</f>
        <v>67</v>
      </c>
      <c r="F11" s="175">
        <f>Elever!E10</f>
        <v>42</v>
      </c>
      <c r="G11" s="175">
        <f>Elever!F10</f>
        <v>23</v>
      </c>
      <c r="H11" s="175">
        <f>Elever!G10</f>
        <v>30</v>
      </c>
      <c r="I11" s="175">
        <f>Elever!H10</f>
        <v>33</v>
      </c>
      <c r="J11" s="175">
        <f>Elever!I10</f>
        <v>263</v>
      </c>
      <c r="K11" s="175"/>
      <c r="L11" s="175">
        <f t="shared" si="0"/>
        <v>3</v>
      </c>
      <c r="M11" s="175">
        <f t="shared" si="1"/>
        <v>3</v>
      </c>
      <c r="N11" s="175">
        <f t="shared" si="2"/>
        <v>2</v>
      </c>
      <c r="O11" s="175">
        <f t="shared" si="3"/>
        <v>1</v>
      </c>
      <c r="P11" s="175">
        <f t="shared" si="4"/>
        <v>2</v>
      </c>
      <c r="Q11" s="175">
        <f t="shared" si="5"/>
        <v>2</v>
      </c>
      <c r="R11" s="175">
        <f t="shared" si="6"/>
        <v>13</v>
      </c>
      <c r="T11" s="176">
        <f t="shared" si="7"/>
        <v>22.666666666666668</v>
      </c>
      <c r="U11" s="176">
        <f t="shared" si="8"/>
        <v>22.333333333333332</v>
      </c>
      <c r="V11" s="176">
        <f t="shared" si="9"/>
        <v>21</v>
      </c>
      <c r="W11" s="176">
        <f t="shared" si="10"/>
        <v>23</v>
      </c>
      <c r="X11" s="176">
        <f t="shared" si="11"/>
        <v>15</v>
      </c>
      <c r="Y11" s="176">
        <f t="shared" si="12"/>
        <v>16.5</v>
      </c>
    </row>
    <row r="12" spans="3:26" x14ac:dyDescent="0.2">
      <c r="C12" s="175" t="str">
        <f>Elever!A11</f>
        <v>6.</v>
      </c>
      <c r="D12" s="175">
        <f>Elever!C11</f>
        <v>75</v>
      </c>
      <c r="E12" s="175">
        <f>Elever!D11</f>
        <v>49</v>
      </c>
      <c r="F12" s="175">
        <f>Elever!E11</f>
        <v>23</v>
      </c>
      <c r="G12" s="175">
        <f>Elever!F11</f>
        <v>18</v>
      </c>
      <c r="H12" s="175">
        <f>Elever!G11</f>
        <v>48</v>
      </c>
      <c r="I12" s="175">
        <f>Elever!H11</f>
        <v>37</v>
      </c>
      <c r="J12" s="175">
        <f>Elever!I11</f>
        <v>250</v>
      </c>
      <c r="K12" s="175"/>
      <c r="L12" s="175">
        <f t="shared" si="0"/>
        <v>3</v>
      </c>
      <c r="M12" s="175">
        <f t="shared" si="1"/>
        <v>2</v>
      </c>
      <c r="N12" s="175">
        <f t="shared" si="2"/>
        <v>1</v>
      </c>
      <c r="O12" s="175">
        <f t="shared" si="3"/>
        <v>1</v>
      </c>
      <c r="P12" s="175">
        <f t="shared" si="4"/>
        <v>2</v>
      </c>
      <c r="Q12" s="175">
        <f t="shared" si="5"/>
        <v>2</v>
      </c>
      <c r="R12" s="175">
        <f t="shared" si="6"/>
        <v>11</v>
      </c>
      <c r="T12" s="176">
        <f t="shared" si="7"/>
        <v>25</v>
      </c>
      <c r="U12" s="176">
        <f t="shared" si="8"/>
        <v>24.5</v>
      </c>
      <c r="V12" s="176">
        <f t="shared" si="9"/>
        <v>23</v>
      </c>
      <c r="W12" s="176">
        <f t="shared" si="10"/>
        <v>18</v>
      </c>
      <c r="X12" s="176">
        <f t="shared" si="11"/>
        <v>24</v>
      </c>
      <c r="Y12" s="176">
        <f t="shared" si="12"/>
        <v>18.5</v>
      </c>
    </row>
    <row r="13" spans="3:26" x14ac:dyDescent="0.2">
      <c r="C13" s="175" t="str">
        <f>Elever!A12</f>
        <v>7.</v>
      </c>
      <c r="D13" s="175">
        <f>Elever!C12</f>
        <v>73</v>
      </c>
      <c r="E13" s="175">
        <f>Elever!D12</f>
        <v>44</v>
      </c>
      <c r="F13" s="175">
        <f>Elever!E12</f>
        <v>41</v>
      </c>
      <c r="G13" s="175">
        <f>Elever!F12</f>
        <v>16</v>
      </c>
      <c r="H13" s="175">
        <f>Elever!G12</f>
        <v>46</v>
      </c>
      <c r="I13" s="175">
        <f>Elever!H12</f>
        <v>42</v>
      </c>
      <c r="J13" s="175">
        <f>Elever!I12</f>
        <v>262</v>
      </c>
      <c r="K13" s="175"/>
      <c r="L13" s="175">
        <f t="shared" si="0"/>
        <v>3</v>
      </c>
      <c r="M13" s="175">
        <f t="shared" si="1"/>
        <v>2</v>
      </c>
      <c r="N13" s="175">
        <f t="shared" si="2"/>
        <v>2</v>
      </c>
      <c r="O13" s="175">
        <f t="shared" si="3"/>
        <v>1</v>
      </c>
      <c r="P13" s="175">
        <f t="shared" si="4"/>
        <v>2</v>
      </c>
      <c r="Q13" s="175">
        <f t="shared" si="5"/>
        <v>2</v>
      </c>
      <c r="R13" s="175">
        <f t="shared" si="6"/>
        <v>12</v>
      </c>
      <c r="T13" s="176">
        <f t="shared" si="7"/>
        <v>24.333333333333332</v>
      </c>
      <c r="U13" s="176">
        <f t="shared" si="8"/>
        <v>22</v>
      </c>
      <c r="V13" s="176">
        <f t="shared" si="9"/>
        <v>20.5</v>
      </c>
      <c r="W13" s="176">
        <f t="shared" si="10"/>
        <v>16</v>
      </c>
      <c r="X13" s="176">
        <f t="shared" si="11"/>
        <v>23</v>
      </c>
      <c r="Y13" s="176">
        <f t="shared" si="12"/>
        <v>21</v>
      </c>
    </row>
    <row r="14" spans="3:26" x14ac:dyDescent="0.2">
      <c r="C14" s="175" t="str">
        <f>Elever!A13</f>
        <v>8.</v>
      </c>
      <c r="D14" s="175">
        <f>Elever!C13</f>
        <v>71</v>
      </c>
      <c r="E14" s="175">
        <f>Elever!D13</f>
        <v>56</v>
      </c>
      <c r="F14" s="175">
        <f>Elever!E13</f>
        <v>50</v>
      </c>
      <c r="G14" s="175">
        <f>Elever!F13</f>
        <v>25</v>
      </c>
      <c r="H14" s="175">
        <f>Elever!G13</f>
        <v>52</v>
      </c>
      <c r="I14" s="175">
        <f>Elever!H13</f>
        <v>26</v>
      </c>
      <c r="J14" s="175">
        <f>Elever!I13</f>
        <v>280</v>
      </c>
      <c r="K14" s="175"/>
      <c r="L14" s="175">
        <f t="shared" si="0"/>
        <v>3</v>
      </c>
      <c r="M14" s="175">
        <f t="shared" si="1"/>
        <v>2</v>
      </c>
      <c r="N14" s="175">
        <f t="shared" si="2"/>
        <v>2</v>
      </c>
      <c r="O14" s="175">
        <f t="shared" si="3"/>
        <v>1</v>
      </c>
      <c r="P14" s="175">
        <f t="shared" si="4"/>
        <v>2</v>
      </c>
      <c r="Q14" s="175">
        <f t="shared" si="5"/>
        <v>1</v>
      </c>
      <c r="R14" s="175">
        <f t="shared" si="6"/>
        <v>11</v>
      </c>
      <c r="T14" s="176">
        <f t="shared" si="7"/>
        <v>23.666666666666668</v>
      </c>
      <c r="U14" s="176">
        <f t="shared" si="8"/>
        <v>28</v>
      </c>
      <c r="V14" s="176">
        <f t="shared" si="9"/>
        <v>25</v>
      </c>
      <c r="W14" s="176">
        <f t="shared" si="10"/>
        <v>25</v>
      </c>
      <c r="X14" s="176">
        <f t="shared" si="11"/>
        <v>26</v>
      </c>
      <c r="Y14" s="176">
        <f t="shared" si="12"/>
        <v>26</v>
      </c>
    </row>
    <row r="15" spans="3:26" x14ac:dyDescent="0.2">
      <c r="C15" s="175" t="str">
        <f>Elever!A14</f>
        <v>9.</v>
      </c>
      <c r="D15" s="175">
        <f>Elever!C14</f>
        <v>79</v>
      </c>
      <c r="E15" s="175">
        <f>Elever!D14</f>
        <v>52</v>
      </c>
      <c r="F15" s="175">
        <f>Elever!E14</f>
        <v>63</v>
      </c>
      <c r="G15" s="175">
        <f>Elever!F14</f>
        <v>13</v>
      </c>
      <c r="H15" s="175">
        <f>Elever!G14</f>
        <v>46</v>
      </c>
      <c r="I15" s="175">
        <f>Elever!H14</f>
        <v>33</v>
      </c>
      <c r="J15" s="175">
        <f>Elever!I14</f>
        <v>286</v>
      </c>
      <c r="K15" s="175"/>
      <c r="L15" s="175">
        <f t="shared" si="0"/>
        <v>3</v>
      </c>
      <c r="M15" s="175">
        <f t="shared" si="1"/>
        <v>2</v>
      </c>
      <c r="N15" s="175">
        <f t="shared" si="2"/>
        <v>3</v>
      </c>
      <c r="O15" s="175">
        <f t="shared" si="3"/>
        <v>1</v>
      </c>
      <c r="P15" s="175">
        <f t="shared" si="4"/>
        <v>2</v>
      </c>
      <c r="Q15" s="175">
        <f t="shared" si="5"/>
        <v>2</v>
      </c>
      <c r="R15" s="175">
        <f t="shared" si="6"/>
        <v>13</v>
      </c>
      <c r="T15" s="176">
        <f t="shared" si="7"/>
        <v>26.333333333333332</v>
      </c>
      <c r="U15" s="176">
        <f t="shared" si="8"/>
        <v>26</v>
      </c>
      <c r="V15" s="176">
        <f t="shared" si="9"/>
        <v>21</v>
      </c>
      <c r="W15" s="176">
        <f t="shared" si="10"/>
        <v>13</v>
      </c>
      <c r="X15" s="176">
        <f t="shared" si="11"/>
        <v>23</v>
      </c>
      <c r="Y15" s="176">
        <f t="shared" si="12"/>
        <v>16.5</v>
      </c>
    </row>
    <row r="16" spans="3:26" x14ac:dyDescent="0.2">
      <c r="C16" s="175" t="str">
        <f>Elever!A15</f>
        <v>10.</v>
      </c>
      <c r="D16" s="175">
        <f>Elever!C15</f>
        <v>0</v>
      </c>
      <c r="E16" s="175">
        <f>Elever!D15</f>
        <v>0</v>
      </c>
      <c r="F16" s="175">
        <f>Elever!E15</f>
        <v>0</v>
      </c>
      <c r="G16" s="175">
        <f>Elever!F15</f>
        <v>0</v>
      </c>
      <c r="H16" s="175">
        <f>Elever!G15</f>
        <v>0</v>
      </c>
      <c r="I16" s="175">
        <f>Elever!H15</f>
        <v>0</v>
      </c>
      <c r="J16" s="175">
        <f>Elever!I15</f>
        <v>0</v>
      </c>
      <c r="K16" s="175"/>
      <c r="L16" s="175"/>
      <c r="M16" s="175"/>
      <c r="N16" s="175"/>
      <c r="O16" s="175"/>
      <c r="P16" s="175"/>
      <c r="Q16" s="175"/>
      <c r="R16" s="175"/>
    </row>
    <row r="17" spans="2:19" x14ac:dyDescent="0.2">
      <c r="C17" s="175" t="str">
        <f>Elever!A16</f>
        <v>I alt</v>
      </c>
      <c r="D17" s="175">
        <f>Elever!C16</f>
        <v>687</v>
      </c>
      <c r="E17" s="175">
        <f>Elever!D16</f>
        <v>489</v>
      </c>
      <c r="F17" s="175">
        <f>Elever!E16</f>
        <v>363</v>
      </c>
      <c r="G17" s="175">
        <f>Elever!F16</f>
        <v>179</v>
      </c>
      <c r="H17" s="175">
        <f>Elever!G16</f>
        <v>428</v>
      </c>
      <c r="I17" s="175">
        <f>Elever!H16</f>
        <v>336</v>
      </c>
      <c r="J17" s="175">
        <f>Elever!I16</f>
        <v>2482</v>
      </c>
      <c r="K17" s="175"/>
      <c r="L17" s="175">
        <f t="shared" ref="L17:Q17" si="13">SUM(L6:L16)</f>
        <v>29</v>
      </c>
      <c r="M17" s="175">
        <f t="shared" si="13"/>
        <v>21</v>
      </c>
      <c r="N17" s="175">
        <f t="shared" si="13"/>
        <v>17</v>
      </c>
      <c r="O17" s="175">
        <f t="shared" si="13"/>
        <v>10</v>
      </c>
      <c r="P17" s="175">
        <f>SUM(P6:P16)</f>
        <v>19</v>
      </c>
      <c r="Q17" s="175">
        <f t="shared" si="13"/>
        <v>18</v>
      </c>
      <c r="R17" s="175">
        <f>SUM(L17:Q17)</f>
        <v>114</v>
      </c>
    </row>
    <row r="18" spans="2:19" x14ac:dyDescent="0.2"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S18" s="175"/>
    </row>
    <row r="20" spans="2:19" x14ac:dyDescent="0.2">
      <c r="C20" s="175" t="s">
        <v>269</v>
      </c>
      <c r="D20" s="175"/>
      <c r="E20" s="175"/>
      <c r="F20" s="175"/>
      <c r="G20" s="175"/>
      <c r="N20" t="s">
        <v>309</v>
      </c>
    </row>
    <row r="21" spans="2:19" x14ac:dyDescent="0.2">
      <c r="B21" s="22" t="s">
        <v>306</v>
      </c>
      <c r="C21" s="215">
        <v>0</v>
      </c>
      <c r="D21" s="169">
        <v>18</v>
      </c>
      <c r="E21" s="169">
        <v>20</v>
      </c>
      <c r="F21" s="169">
        <v>24</v>
      </c>
      <c r="G21" s="169">
        <v>28</v>
      </c>
      <c r="N21">
        <f>$C$21</f>
        <v>0</v>
      </c>
      <c r="O21">
        <f>$D$21</f>
        <v>18</v>
      </c>
      <c r="P21">
        <f>$E$21</f>
        <v>20</v>
      </c>
      <c r="Q21">
        <f>$F$21</f>
        <v>24</v>
      </c>
      <c r="R21">
        <f>$G$21</f>
        <v>28</v>
      </c>
    </row>
    <row r="22" spans="2:19" x14ac:dyDescent="0.2">
      <c r="C22" s="175" t="s">
        <v>7</v>
      </c>
      <c r="D22" s="177">
        <f t="shared" ref="D22:G32" si="14">IF(AND($T6&lt;=D$21,$T6&gt;C$21),$T6-C$21,0)</f>
        <v>0</v>
      </c>
      <c r="E22" s="177">
        <f t="shared" si="14"/>
        <v>0</v>
      </c>
      <c r="F22" s="177">
        <f t="shared" si="14"/>
        <v>0</v>
      </c>
      <c r="G22" s="177">
        <f t="shared" si="14"/>
        <v>2</v>
      </c>
      <c r="I22" s="177">
        <f t="shared" ref="I22:I32" si="15">IF(AND(D22&gt;0,D22&lt;1),D22*$L6,0)</f>
        <v>0</v>
      </c>
      <c r="J22" s="177">
        <f t="shared" ref="J22:J32" si="16">IF(AND(E22&gt;0,E22&lt;1),E22*$L6,0)</f>
        <v>0</v>
      </c>
      <c r="K22" s="177">
        <f t="shared" ref="K22:K32" si="17">IF(AND(F22&gt;0,F22&lt;1),F22*$L6,0)</f>
        <v>0</v>
      </c>
      <c r="L22" s="177">
        <f t="shared" ref="L22:L32" si="18">IF(AND(G22&gt;0,G22&lt;1),G22*$L6,0)</f>
        <v>0</v>
      </c>
      <c r="O22">
        <f t="shared" ref="O22:O32" si="19">IF(J22&gt;0,$L6-J22,IF(I22&gt;0,I22,IF(AND($T6&gt;N$21,$T6&lt;=O$21),$L6-I22,0)))</f>
        <v>0</v>
      </c>
      <c r="P22">
        <f t="shared" ref="P22:P32" si="20">IF(K22&gt;0,$L6-K22,IF(J22&gt;0,J22,IF(AND($T6&gt;O$21,$T6&lt;=P$21),$L6-J22,0)))</f>
        <v>0</v>
      </c>
      <c r="Q22">
        <f t="shared" ref="Q22:Q32" si="21">IF(L22&gt;0,$L6-L22,IF(K22&gt;0,K22,IF(AND($T6&gt;P$21,$T6&lt;=Q$21),$L6-K22,0)))</f>
        <v>0</v>
      </c>
      <c r="R22">
        <f t="shared" ref="R22:R32" si="22">IF(M22&gt;0,$L6-M22,IF(L22&gt;0,L22,IF(AND($T6&gt;Q$21,$T6&lt;=R$21),$L6-L22,0)))</f>
        <v>3</v>
      </c>
    </row>
    <row r="23" spans="2:19" x14ac:dyDescent="0.2">
      <c r="C23" s="175" t="s">
        <v>8</v>
      </c>
      <c r="D23" s="177">
        <f t="shared" si="14"/>
        <v>0</v>
      </c>
      <c r="E23" s="177">
        <f t="shared" si="14"/>
        <v>0</v>
      </c>
      <c r="F23" s="177">
        <f t="shared" si="14"/>
        <v>1</v>
      </c>
      <c r="G23" s="177">
        <f t="shared" si="14"/>
        <v>0</v>
      </c>
      <c r="I23" s="177">
        <f t="shared" si="15"/>
        <v>0</v>
      </c>
      <c r="J23" s="177">
        <f t="shared" si="16"/>
        <v>0</v>
      </c>
      <c r="K23" s="177">
        <f>IF(AND(F23&gt;0,F23&lt;1),F23*$L7,0)</f>
        <v>0</v>
      </c>
      <c r="L23" s="177">
        <f t="shared" si="18"/>
        <v>0</v>
      </c>
      <c r="O23">
        <f t="shared" si="19"/>
        <v>0</v>
      </c>
      <c r="P23">
        <f t="shared" si="20"/>
        <v>0</v>
      </c>
      <c r="Q23">
        <f t="shared" si="21"/>
        <v>3</v>
      </c>
      <c r="R23">
        <f t="shared" si="22"/>
        <v>0</v>
      </c>
    </row>
    <row r="24" spans="2:19" x14ac:dyDescent="0.2">
      <c r="C24" t="s">
        <v>9</v>
      </c>
      <c r="D24" s="177">
        <f t="shared" si="14"/>
        <v>0</v>
      </c>
      <c r="E24" s="177">
        <f t="shared" si="14"/>
        <v>0</v>
      </c>
      <c r="F24" s="177">
        <f t="shared" si="14"/>
        <v>1</v>
      </c>
      <c r="G24" s="177">
        <f t="shared" si="14"/>
        <v>0</v>
      </c>
      <c r="I24" s="177">
        <f t="shared" si="15"/>
        <v>0</v>
      </c>
      <c r="J24" s="177">
        <f t="shared" si="16"/>
        <v>0</v>
      </c>
      <c r="K24" s="177">
        <f t="shared" si="17"/>
        <v>0</v>
      </c>
      <c r="L24" s="177">
        <f t="shared" si="18"/>
        <v>0</v>
      </c>
      <c r="O24">
        <f t="shared" si="19"/>
        <v>0</v>
      </c>
      <c r="P24">
        <f t="shared" si="20"/>
        <v>0</v>
      </c>
      <c r="Q24">
        <f t="shared" si="21"/>
        <v>3</v>
      </c>
      <c r="R24">
        <f t="shared" si="22"/>
        <v>0</v>
      </c>
    </row>
    <row r="25" spans="2:19" x14ac:dyDescent="0.2">
      <c r="C25" t="s">
        <v>10</v>
      </c>
      <c r="D25" s="177">
        <f t="shared" si="14"/>
        <v>0</v>
      </c>
      <c r="E25" s="177">
        <f t="shared" si="14"/>
        <v>0</v>
      </c>
      <c r="F25" s="177">
        <f t="shared" si="14"/>
        <v>0</v>
      </c>
      <c r="G25" s="177">
        <f t="shared" si="14"/>
        <v>0.5</v>
      </c>
      <c r="I25" s="177">
        <f t="shared" si="15"/>
        <v>0</v>
      </c>
      <c r="J25" s="177">
        <f t="shared" si="16"/>
        <v>0</v>
      </c>
      <c r="K25" s="177">
        <f t="shared" si="17"/>
        <v>0</v>
      </c>
      <c r="L25" s="177">
        <f t="shared" si="18"/>
        <v>1</v>
      </c>
      <c r="O25">
        <f t="shared" si="19"/>
        <v>0</v>
      </c>
      <c r="P25">
        <f t="shared" si="20"/>
        <v>0</v>
      </c>
      <c r="Q25">
        <f t="shared" si="21"/>
        <v>1</v>
      </c>
      <c r="R25">
        <f t="shared" si="22"/>
        <v>1</v>
      </c>
    </row>
    <row r="26" spans="2:19" x14ac:dyDescent="0.2">
      <c r="C26" t="s">
        <v>11</v>
      </c>
      <c r="D26" s="177">
        <f t="shared" si="14"/>
        <v>0</v>
      </c>
      <c r="E26" s="177">
        <f t="shared" si="14"/>
        <v>0</v>
      </c>
      <c r="F26" s="177">
        <f t="shared" si="14"/>
        <v>2.6666666666666679</v>
      </c>
      <c r="G26" s="177">
        <f t="shared" si="14"/>
        <v>0</v>
      </c>
      <c r="I26" s="177">
        <f t="shared" si="15"/>
        <v>0</v>
      </c>
      <c r="J26" s="177">
        <f t="shared" si="16"/>
        <v>0</v>
      </c>
      <c r="K26" s="177">
        <f t="shared" si="17"/>
        <v>0</v>
      </c>
      <c r="L26" s="177">
        <f t="shared" si="18"/>
        <v>0</v>
      </c>
      <c r="O26">
        <f t="shared" si="19"/>
        <v>0</v>
      </c>
      <c r="P26">
        <f t="shared" si="20"/>
        <v>0</v>
      </c>
      <c r="Q26">
        <f t="shared" si="21"/>
        <v>3</v>
      </c>
      <c r="R26">
        <f t="shared" si="22"/>
        <v>0</v>
      </c>
    </row>
    <row r="27" spans="2:19" x14ac:dyDescent="0.2">
      <c r="C27" t="s">
        <v>12</v>
      </c>
      <c r="D27" s="177">
        <f t="shared" si="14"/>
        <v>0</v>
      </c>
      <c r="E27" s="177">
        <f t="shared" si="14"/>
        <v>0</v>
      </c>
      <c r="F27" s="177">
        <f t="shared" si="14"/>
        <v>2.6666666666666679</v>
      </c>
      <c r="G27" s="177">
        <f t="shared" si="14"/>
        <v>0</v>
      </c>
      <c r="I27" s="177">
        <f t="shared" si="15"/>
        <v>0</v>
      </c>
      <c r="J27" s="177">
        <f t="shared" si="16"/>
        <v>0</v>
      </c>
      <c r="K27" s="177">
        <f t="shared" si="17"/>
        <v>0</v>
      </c>
      <c r="L27" s="177">
        <f t="shared" si="18"/>
        <v>0</v>
      </c>
      <c r="O27">
        <f t="shared" si="19"/>
        <v>0</v>
      </c>
      <c r="P27">
        <f t="shared" si="20"/>
        <v>0</v>
      </c>
      <c r="Q27">
        <f t="shared" si="21"/>
        <v>3</v>
      </c>
      <c r="R27">
        <f t="shared" si="22"/>
        <v>0</v>
      </c>
    </row>
    <row r="28" spans="2:19" x14ac:dyDescent="0.2">
      <c r="C28" t="s">
        <v>13</v>
      </c>
      <c r="D28" s="177">
        <f t="shared" si="14"/>
        <v>0</v>
      </c>
      <c r="E28" s="177">
        <f t="shared" si="14"/>
        <v>0</v>
      </c>
      <c r="F28" s="177">
        <f t="shared" si="14"/>
        <v>0</v>
      </c>
      <c r="G28" s="177">
        <f t="shared" si="14"/>
        <v>1</v>
      </c>
      <c r="I28" s="177">
        <f t="shared" si="15"/>
        <v>0</v>
      </c>
      <c r="J28" s="177">
        <f t="shared" si="16"/>
        <v>0</v>
      </c>
      <c r="K28" s="177">
        <f t="shared" si="17"/>
        <v>0</v>
      </c>
      <c r="L28" s="177">
        <f t="shared" si="18"/>
        <v>0</v>
      </c>
      <c r="O28">
        <f t="shared" si="19"/>
        <v>0</v>
      </c>
      <c r="P28">
        <f t="shared" si="20"/>
        <v>0</v>
      </c>
      <c r="Q28">
        <f t="shared" si="21"/>
        <v>0</v>
      </c>
      <c r="R28">
        <f t="shared" si="22"/>
        <v>3</v>
      </c>
    </row>
    <row r="29" spans="2:19" x14ac:dyDescent="0.2">
      <c r="C29" t="s">
        <v>14</v>
      </c>
      <c r="D29" s="177">
        <f t="shared" si="14"/>
        <v>0</v>
      </c>
      <c r="E29" s="177">
        <f t="shared" si="14"/>
        <v>0</v>
      </c>
      <c r="F29" s="177">
        <f t="shared" si="14"/>
        <v>0</v>
      </c>
      <c r="G29" s="177">
        <f t="shared" si="14"/>
        <v>0.33333333333333215</v>
      </c>
      <c r="I29" s="177">
        <f t="shared" si="15"/>
        <v>0</v>
      </c>
      <c r="J29" s="177">
        <f t="shared" si="16"/>
        <v>0</v>
      </c>
      <c r="K29" s="177">
        <f t="shared" si="17"/>
        <v>0</v>
      </c>
      <c r="L29" s="177">
        <f t="shared" si="18"/>
        <v>0.99999999999999645</v>
      </c>
      <c r="O29">
        <f t="shared" si="19"/>
        <v>0</v>
      </c>
      <c r="P29">
        <f t="shared" si="20"/>
        <v>0</v>
      </c>
      <c r="Q29">
        <f t="shared" si="21"/>
        <v>2.0000000000000036</v>
      </c>
      <c r="R29">
        <f t="shared" si="22"/>
        <v>0.99999999999999645</v>
      </c>
    </row>
    <row r="30" spans="2:19" x14ac:dyDescent="0.2">
      <c r="C30" t="s">
        <v>15</v>
      </c>
      <c r="D30" s="177">
        <f t="shared" si="14"/>
        <v>0</v>
      </c>
      <c r="E30" s="177">
        <f t="shared" si="14"/>
        <v>0</v>
      </c>
      <c r="F30" s="177">
        <f t="shared" si="14"/>
        <v>3.6666666666666679</v>
      </c>
      <c r="G30" s="177">
        <f t="shared" si="14"/>
        <v>0</v>
      </c>
      <c r="I30" s="177">
        <f t="shared" si="15"/>
        <v>0</v>
      </c>
      <c r="J30" s="177">
        <f t="shared" si="16"/>
        <v>0</v>
      </c>
      <c r="K30" s="177">
        <f t="shared" si="17"/>
        <v>0</v>
      </c>
      <c r="L30" s="177">
        <f t="shared" si="18"/>
        <v>0</v>
      </c>
      <c r="O30">
        <f t="shared" si="19"/>
        <v>0</v>
      </c>
      <c r="P30">
        <f t="shared" si="20"/>
        <v>0</v>
      </c>
      <c r="Q30">
        <f t="shared" si="21"/>
        <v>3</v>
      </c>
      <c r="R30">
        <f t="shared" si="22"/>
        <v>0</v>
      </c>
    </row>
    <row r="31" spans="2:19" x14ac:dyDescent="0.2">
      <c r="C31" t="s">
        <v>16</v>
      </c>
      <c r="D31" s="177">
        <f t="shared" si="14"/>
        <v>0</v>
      </c>
      <c r="E31" s="177">
        <f t="shared" si="14"/>
        <v>0</v>
      </c>
      <c r="F31" s="177">
        <f t="shared" si="14"/>
        <v>0</v>
      </c>
      <c r="G31" s="177">
        <f t="shared" si="14"/>
        <v>2.3333333333333321</v>
      </c>
      <c r="I31" s="177">
        <f t="shared" si="15"/>
        <v>0</v>
      </c>
      <c r="J31" s="177">
        <f t="shared" si="16"/>
        <v>0</v>
      </c>
      <c r="K31" s="177">
        <f t="shared" si="17"/>
        <v>0</v>
      </c>
      <c r="L31" s="177">
        <f t="shared" si="18"/>
        <v>0</v>
      </c>
      <c r="O31">
        <f t="shared" si="19"/>
        <v>0</v>
      </c>
      <c r="P31">
        <f t="shared" si="20"/>
        <v>0</v>
      </c>
      <c r="Q31">
        <f t="shared" si="21"/>
        <v>0</v>
      </c>
      <c r="R31">
        <f t="shared" si="22"/>
        <v>3</v>
      </c>
    </row>
    <row r="32" spans="2:19" x14ac:dyDescent="0.2">
      <c r="C32" t="s">
        <v>17</v>
      </c>
      <c r="D32" s="177">
        <f t="shared" si="14"/>
        <v>0</v>
      </c>
      <c r="E32" s="177">
        <f t="shared" si="14"/>
        <v>0</v>
      </c>
      <c r="F32" s="177">
        <f t="shared" si="14"/>
        <v>0</v>
      </c>
      <c r="G32" s="177">
        <f t="shared" si="14"/>
        <v>0</v>
      </c>
      <c r="I32" s="177">
        <f t="shared" si="15"/>
        <v>0</v>
      </c>
      <c r="J32" s="177">
        <f t="shared" si="16"/>
        <v>0</v>
      </c>
      <c r="K32" s="177">
        <f t="shared" si="17"/>
        <v>0</v>
      </c>
      <c r="L32" s="177">
        <f t="shared" si="18"/>
        <v>0</v>
      </c>
      <c r="O32">
        <f t="shared" si="19"/>
        <v>0</v>
      </c>
      <c r="P32">
        <f t="shared" si="20"/>
        <v>0</v>
      </c>
      <c r="Q32">
        <f t="shared" si="21"/>
        <v>0</v>
      </c>
      <c r="R32">
        <f t="shared" si="22"/>
        <v>0</v>
      </c>
    </row>
    <row r="33" spans="3:18" x14ac:dyDescent="0.2">
      <c r="C33" t="s">
        <v>18</v>
      </c>
      <c r="O33">
        <f>SUM(O22:O32)</f>
        <v>0</v>
      </c>
      <c r="P33">
        <f>SUM(P22:P32)</f>
        <v>0</v>
      </c>
      <c r="Q33">
        <f>SUM(Q22:Q32)</f>
        <v>18.000000000000004</v>
      </c>
      <c r="R33">
        <f>SUM(R22:R32)</f>
        <v>10.999999999999996</v>
      </c>
    </row>
    <row r="35" spans="3:18" x14ac:dyDescent="0.2">
      <c r="C35" s="175" t="s">
        <v>3</v>
      </c>
      <c r="D35" s="175"/>
      <c r="E35" s="175"/>
      <c r="F35" s="175"/>
      <c r="G35" s="175"/>
    </row>
    <row r="36" spans="3:18" x14ac:dyDescent="0.2">
      <c r="C36">
        <f>$C$21</f>
        <v>0</v>
      </c>
      <c r="D36">
        <f>$D$21</f>
        <v>18</v>
      </c>
      <c r="E36">
        <f>$E$21</f>
        <v>20</v>
      </c>
      <c r="F36">
        <f>$F$21</f>
        <v>24</v>
      </c>
      <c r="G36">
        <f>$G$21</f>
        <v>28</v>
      </c>
      <c r="N36">
        <f>$C$21</f>
        <v>0</v>
      </c>
      <c r="O36">
        <f>$D$21</f>
        <v>18</v>
      </c>
      <c r="P36">
        <f>$E$21</f>
        <v>20</v>
      </c>
      <c r="Q36">
        <f>$F$21</f>
        <v>24</v>
      </c>
      <c r="R36">
        <f>$G$21</f>
        <v>28</v>
      </c>
    </row>
    <row r="37" spans="3:18" x14ac:dyDescent="0.2">
      <c r="C37" s="175" t="s">
        <v>7</v>
      </c>
      <c r="D37" s="177">
        <f t="shared" ref="D37:G47" si="23">IF(AND($U6&lt;=D$21,$U6&gt;C$21),$U6-C$21,0)</f>
        <v>0</v>
      </c>
      <c r="E37" s="177">
        <f t="shared" si="23"/>
        <v>0</v>
      </c>
      <c r="F37" s="177">
        <f t="shared" si="23"/>
        <v>0</v>
      </c>
      <c r="G37" s="177">
        <f t="shared" si="23"/>
        <v>3.5</v>
      </c>
      <c r="I37" s="177">
        <f t="shared" ref="I37:I47" si="24">IF(AND(D37&gt;0,D37&lt;1),D37*$M6,0)</f>
        <v>0</v>
      </c>
      <c r="J37" s="177">
        <f t="shared" ref="J37:J47" si="25">IF(AND(E37&gt;0,E37&lt;1),E37*$M6,0)</f>
        <v>0</v>
      </c>
      <c r="K37" s="177">
        <f t="shared" ref="K37:K47" si="26">IF(AND(F37&gt;0,F37&lt;1),F37*$M6,0)</f>
        <v>0</v>
      </c>
      <c r="L37" s="177">
        <f t="shared" ref="L37:L47" si="27">IF(AND(G37&gt;0,G37&lt;1),G37*$M6,0)</f>
        <v>0</v>
      </c>
      <c r="O37">
        <f t="shared" ref="O37:O47" si="28">IF(J37&gt;0,$M6-J37,IF(I37&gt;0,I37,IF(AND($U6&gt;N$36,$U6&lt;=O$36),$M6-I37,0)))</f>
        <v>0</v>
      </c>
      <c r="P37">
        <f t="shared" ref="P37:P47" si="29">IF(K37&gt;0,$M6-K37,IF(J37&gt;0,J37,IF(AND($U6&gt;O$36,$U6&lt;=P$36),$M6-J37,0)))</f>
        <v>0</v>
      </c>
      <c r="Q37">
        <f t="shared" ref="Q37:Q47" si="30">IF(L37&gt;0,$M6-L37,IF(K37&gt;0,K37,IF(AND($U6&gt;P$36,$U6&lt;=Q$36),$M6-K37,0)))</f>
        <v>0</v>
      </c>
      <c r="R37">
        <f t="shared" ref="R37:R47" si="31">IF(M37&gt;0,$M6-M37,IF(L37&gt;0,L37,IF(AND($U6&gt;Q$36,$U6&lt;=R$36),$M6-L37,0)))</f>
        <v>2</v>
      </c>
    </row>
    <row r="38" spans="3:18" x14ac:dyDescent="0.2">
      <c r="C38" s="175" t="s">
        <v>8</v>
      </c>
      <c r="D38" s="177">
        <f t="shared" si="23"/>
        <v>17.5</v>
      </c>
      <c r="E38" s="177">
        <f t="shared" si="23"/>
        <v>0</v>
      </c>
      <c r="F38" s="177">
        <f t="shared" si="23"/>
        <v>0</v>
      </c>
      <c r="G38" s="177">
        <f t="shared" si="23"/>
        <v>0</v>
      </c>
      <c r="I38" s="177">
        <f t="shared" si="24"/>
        <v>0</v>
      </c>
      <c r="J38" s="177">
        <f t="shared" si="25"/>
        <v>0</v>
      </c>
      <c r="K38" s="177">
        <f t="shared" si="26"/>
        <v>0</v>
      </c>
      <c r="L38" s="177">
        <f t="shared" si="27"/>
        <v>0</v>
      </c>
      <c r="O38">
        <f t="shared" si="28"/>
        <v>2</v>
      </c>
      <c r="P38">
        <f t="shared" si="29"/>
        <v>0</v>
      </c>
      <c r="Q38">
        <f t="shared" si="30"/>
        <v>0</v>
      </c>
      <c r="R38">
        <f t="shared" si="31"/>
        <v>0</v>
      </c>
    </row>
    <row r="39" spans="3:18" x14ac:dyDescent="0.2">
      <c r="C39" t="s">
        <v>9</v>
      </c>
      <c r="D39" s="177">
        <f t="shared" si="23"/>
        <v>0</v>
      </c>
      <c r="E39" s="177">
        <f t="shared" si="23"/>
        <v>0</v>
      </c>
      <c r="F39" s="177">
        <f t="shared" si="23"/>
        <v>4</v>
      </c>
      <c r="G39" s="177">
        <f t="shared" si="23"/>
        <v>0</v>
      </c>
      <c r="I39" s="177">
        <f t="shared" si="24"/>
        <v>0</v>
      </c>
      <c r="J39" s="177">
        <f t="shared" si="25"/>
        <v>0</v>
      </c>
      <c r="K39" s="177">
        <f t="shared" si="26"/>
        <v>0</v>
      </c>
      <c r="L39" s="177">
        <f t="shared" si="27"/>
        <v>0</v>
      </c>
      <c r="O39">
        <f t="shared" si="28"/>
        <v>0</v>
      </c>
      <c r="P39">
        <f t="shared" si="29"/>
        <v>0</v>
      </c>
      <c r="Q39">
        <f t="shared" si="30"/>
        <v>2</v>
      </c>
      <c r="R39">
        <f t="shared" si="31"/>
        <v>0</v>
      </c>
    </row>
    <row r="40" spans="3:18" x14ac:dyDescent="0.2">
      <c r="C40" t="s">
        <v>10</v>
      </c>
      <c r="D40" s="177">
        <f t="shared" si="23"/>
        <v>0</v>
      </c>
      <c r="E40" s="177">
        <f t="shared" si="23"/>
        <v>0</v>
      </c>
      <c r="F40" s="177">
        <f t="shared" si="23"/>
        <v>2.5</v>
      </c>
      <c r="G40" s="177">
        <f t="shared" si="23"/>
        <v>0</v>
      </c>
      <c r="I40" s="177">
        <f t="shared" si="24"/>
        <v>0</v>
      </c>
      <c r="J40" s="177">
        <f t="shared" si="25"/>
        <v>0</v>
      </c>
      <c r="K40" s="177">
        <f t="shared" si="26"/>
        <v>0</v>
      </c>
      <c r="L40" s="177">
        <f t="shared" si="27"/>
        <v>0</v>
      </c>
      <c r="O40">
        <f t="shared" si="28"/>
        <v>0</v>
      </c>
      <c r="P40">
        <f t="shared" si="29"/>
        <v>0</v>
      </c>
      <c r="Q40">
        <f t="shared" si="30"/>
        <v>2</v>
      </c>
      <c r="R40">
        <f t="shared" si="31"/>
        <v>0</v>
      </c>
    </row>
    <row r="41" spans="3:18" x14ac:dyDescent="0.2">
      <c r="C41" t="s">
        <v>11</v>
      </c>
      <c r="D41" s="177">
        <f t="shared" si="23"/>
        <v>0</v>
      </c>
      <c r="E41" s="177">
        <f t="shared" si="23"/>
        <v>1</v>
      </c>
      <c r="F41" s="177">
        <f t="shared" si="23"/>
        <v>0</v>
      </c>
      <c r="G41" s="177">
        <f t="shared" si="23"/>
        <v>0</v>
      </c>
      <c r="I41" s="177">
        <f t="shared" si="24"/>
        <v>0</v>
      </c>
      <c r="J41" s="177">
        <f t="shared" si="25"/>
        <v>0</v>
      </c>
      <c r="K41" s="177">
        <f t="shared" si="26"/>
        <v>0</v>
      </c>
      <c r="L41" s="177">
        <f t="shared" si="27"/>
        <v>0</v>
      </c>
      <c r="O41">
        <f t="shared" si="28"/>
        <v>0</v>
      </c>
      <c r="P41">
        <f t="shared" si="29"/>
        <v>2</v>
      </c>
      <c r="Q41">
        <f t="shared" si="30"/>
        <v>0</v>
      </c>
      <c r="R41">
        <f t="shared" si="31"/>
        <v>0</v>
      </c>
    </row>
    <row r="42" spans="3:18" x14ac:dyDescent="0.2">
      <c r="C42" t="s">
        <v>12</v>
      </c>
      <c r="D42" s="177">
        <f t="shared" si="23"/>
        <v>0</v>
      </c>
      <c r="E42" s="177">
        <f t="shared" si="23"/>
        <v>0</v>
      </c>
      <c r="F42" s="177">
        <f t="shared" si="23"/>
        <v>2.3333333333333321</v>
      </c>
      <c r="G42" s="177">
        <f t="shared" si="23"/>
        <v>0</v>
      </c>
      <c r="I42" s="177">
        <f t="shared" si="24"/>
        <v>0</v>
      </c>
      <c r="J42" s="177">
        <f t="shared" si="25"/>
        <v>0</v>
      </c>
      <c r="K42" s="177">
        <f t="shared" si="26"/>
        <v>0</v>
      </c>
      <c r="L42" s="177">
        <f t="shared" si="27"/>
        <v>0</v>
      </c>
      <c r="O42">
        <f t="shared" si="28"/>
        <v>0</v>
      </c>
      <c r="P42">
        <f t="shared" si="29"/>
        <v>0</v>
      </c>
      <c r="Q42">
        <f t="shared" si="30"/>
        <v>3</v>
      </c>
      <c r="R42">
        <f t="shared" si="31"/>
        <v>0</v>
      </c>
    </row>
    <row r="43" spans="3:18" x14ac:dyDescent="0.2">
      <c r="C43" t="s">
        <v>13</v>
      </c>
      <c r="D43" s="177">
        <f t="shared" si="23"/>
        <v>0</v>
      </c>
      <c r="E43" s="177">
        <f t="shared" si="23"/>
        <v>0</v>
      </c>
      <c r="F43" s="177">
        <f t="shared" si="23"/>
        <v>0</v>
      </c>
      <c r="G43" s="177">
        <f t="shared" si="23"/>
        <v>0.5</v>
      </c>
      <c r="I43" s="177">
        <f t="shared" si="24"/>
        <v>0</v>
      </c>
      <c r="J43" s="177">
        <f t="shared" si="25"/>
        <v>0</v>
      </c>
      <c r="K43" s="177">
        <f t="shared" si="26"/>
        <v>0</v>
      </c>
      <c r="L43" s="177">
        <f t="shared" si="27"/>
        <v>1</v>
      </c>
      <c r="O43">
        <f t="shared" si="28"/>
        <v>0</v>
      </c>
      <c r="P43">
        <f t="shared" si="29"/>
        <v>0</v>
      </c>
      <c r="Q43">
        <f t="shared" si="30"/>
        <v>1</v>
      </c>
      <c r="R43">
        <f t="shared" si="31"/>
        <v>1</v>
      </c>
    </row>
    <row r="44" spans="3:18" x14ac:dyDescent="0.2">
      <c r="C44" t="s">
        <v>14</v>
      </c>
      <c r="D44" s="177">
        <f t="shared" si="23"/>
        <v>0</v>
      </c>
      <c r="E44" s="177">
        <f t="shared" si="23"/>
        <v>0</v>
      </c>
      <c r="F44" s="177">
        <f t="shared" si="23"/>
        <v>2</v>
      </c>
      <c r="G44" s="177">
        <f t="shared" si="23"/>
        <v>0</v>
      </c>
      <c r="I44" s="177">
        <f t="shared" si="24"/>
        <v>0</v>
      </c>
      <c r="J44" s="177">
        <f t="shared" si="25"/>
        <v>0</v>
      </c>
      <c r="K44" s="177">
        <f t="shared" si="26"/>
        <v>0</v>
      </c>
      <c r="L44" s="177">
        <f t="shared" si="27"/>
        <v>0</v>
      </c>
      <c r="O44">
        <f t="shared" si="28"/>
        <v>0</v>
      </c>
      <c r="P44">
        <f t="shared" si="29"/>
        <v>0</v>
      </c>
      <c r="Q44">
        <f t="shared" si="30"/>
        <v>2</v>
      </c>
      <c r="R44">
        <f t="shared" si="31"/>
        <v>0</v>
      </c>
    </row>
    <row r="45" spans="3:18" x14ac:dyDescent="0.2">
      <c r="C45" t="s">
        <v>15</v>
      </c>
      <c r="D45" s="177">
        <f t="shared" si="23"/>
        <v>0</v>
      </c>
      <c r="E45" s="177">
        <f t="shared" si="23"/>
        <v>0</v>
      </c>
      <c r="F45" s="177">
        <f t="shared" si="23"/>
        <v>0</v>
      </c>
      <c r="G45" s="177">
        <f t="shared" si="23"/>
        <v>4</v>
      </c>
      <c r="I45" s="177">
        <f t="shared" si="24"/>
        <v>0</v>
      </c>
      <c r="J45" s="177">
        <f t="shared" si="25"/>
        <v>0</v>
      </c>
      <c r="K45" s="177">
        <f t="shared" si="26"/>
        <v>0</v>
      </c>
      <c r="L45" s="177">
        <f t="shared" si="27"/>
        <v>0</v>
      </c>
      <c r="O45">
        <f t="shared" si="28"/>
        <v>0</v>
      </c>
      <c r="P45">
        <f t="shared" si="29"/>
        <v>0</v>
      </c>
      <c r="Q45">
        <f t="shared" si="30"/>
        <v>0</v>
      </c>
      <c r="R45">
        <f t="shared" si="31"/>
        <v>2</v>
      </c>
    </row>
    <row r="46" spans="3:18" x14ac:dyDescent="0.2">
      <c r="C46" t="s">
        <v>16</v>
      </c>
      <c r="D46" s="177">
        <f t="shared" si="23"/>
        <v>0</v>
      </c>
      <c r="E46" s="177">
        <f t="shared" si="23"/>
        <v>0</v>
      </c>
      <c r="F46" s="177">
        <f t="shared" si="23"/>
        <v>0</v>
      </c>
      <c r="G46" s="177">
        <f t="shared" si="23"/>
        <v>2</v>
      </c>
      <c r="I46" s="177">
        <f t="shared" si="24"/>
        <v>0</v>
      </c>
      <c r="J46" s="177">
        <f t="shared" si="25"/>
        <v>0</v>
      </c>
      <c r="K46" s="177">
        <f t="shared" si="26"/>
        <v>0</v>
      </c>
      <c r="L46" s="177">
        <f t="shared" si="27"/>
        <v>0</v>
      </c>
      <c r="O46">
        <f t="shared" si="28"/>
        <v>0</v>
      </c>
      <c r="P46">
        <f t="shared" si="29"/>
        <v>0</v>
      </c>
      <c r="Q46">
        <f t="shared" si="30"/>
        <v>0</v>
      </c>
      <c r="R46">
        <f t="shared" si="31"/>
        <v>2</v>
      </c>
    </row>
    <row r="47" spans="3:18" x14ac:dyDescent="0.2">
      <c r="C47" t="s">
        <v>17</v>
      </c>
      <c r="D47" s="177">
        <f t="shared" si="23"/>
        <v>0</v>
      </c>
      <c r="E47" s="177">
        <f t="shared" si="23"/>
        <v>0</v>
      </c>
      <c r="F47" s="177">
        <f t="shared" si="23"/>
        <v>0</v>
      </c>
      <c r="G47" s="177">
        <f t="shared" si="23"/>
        <v>0</v>
      </c>
      <c r="I47" s="177">
        <f t="shared" si="24"/>
        <v>0</v>
      </c>
      <c r="J47" s="177">
        <f t="shared" si="25"/>
        <v>0</v>
      </c>
      <c r="K47" s="177">
        <f t="shared" si="26"/>
        <v>0</v>
      </c>
      <c r="L47" s="177">
        <f t="shared" si="27"/>
        <v>0</v>
      </c>
      <c r="O47">
        <f t="shared" si="28"/>
        <v>0</v>
      </c>
      <c r="P47">
        <f t="shared" si="29"/>
        <v>0</v>
      </c>
      <c r="Q47">
        <f t="shared" si="30"/>
        <v>0</v>
      </c>
      <c r="R47">
        <f t="shared" si="31"/>
        <v>0</v>
      </c>
    </row>
    <row r="48" spans="3:18" x14ac:dyDescent="0.2">
      <c r="C48" t="s">
        <v>18</v>
      </c>
      <c r="O48">
        <f>SUM(O37:O47)</f>
        <v>2</v>
      </c>
      <c r="P48">
        <f>SUM(P37:P47)</f>
        <v>2</v>
      </c>
      <c r="Q48">
        <f>SUM(Q37:Q47)</f>
        <v>10</v>
      </c>
      <c r="R48">
        <f>SUM(R37:R47)</f>
        <v>7</v>
      </c>
    </row>
    <row r="50" spans="3:18" x14ac:dyDescent="0.2">
      <c r="C50" s="175" t="s">
        <v>4</v>
      </c>
      <c r="D50" s="175"/>
      <c r="E50" s="175"/>
      <c r="F50" s="175"/>
      <c r="G50" s="175"/>
    </row>
    <row r="51" spans="3:18" x14ac:dyDescent="0.2">
      <c r="C51">
        <f>$C$21</f>
        <v>0</v>
      </c>
      <c r="D51">
        <f>$D$21</f>
        <v>18</v>
      </c>
      <c r="E51">
        <f>$E$21</f>
        <v>20</v>
      </c>
      <c r="F51">
        <f>$F$21</f>
        <v>24</v>
      </c>
      <c r="G51">
        <f>$G$21</f>
        <v>28</v>
      </c>
      <c r="N51">
        <f>$C$21</f>
        <v>0</v>
      </c>
      <c r="O51">
        <f>$D$21</f>
        <v>18</v>
      </c>
      <c r="P51">
        <f>$E$21</f>
        <v>20</v>
      </c>
      <c r="Q51">
        <f>$F$21</f>
        <v>24</v>
      </c>
      <c r="R51">
        <f>$G$21</f>
        <v>28</v>
      </c>
    </row>
    <row r="52" spans="3:18" x14ac:dyDescent="0.2">
      <c r="C52" s="175" t="s">
        <v>7</v>
      </c>
      <c r="D52" s="177">
        <f t="shared" ref="D52:G62" si="32">IF(AND($V6&lt;=D$21,$V6&gt;C$21),$V6-C$21,0)</f>
        <v>17.5</v>
      </c>
      <c r="E52" s="177">
        <f t="shared" si="32"/>
        <v>0</v>
      </c>
      <c r="F52" s="177">
        <f t="shared" si="32"/>
        <v>0</v>
      </c>
      <c r="G52" s="177">
        <f t="shared" si="32"/>
        <v>0</v>
      </c>
      <c r="I52" s="177">
        <f t="shared" ref="I52:I62" si="33">IF(AND(D52&gt;0,D52&lt;1),D52*$N6,0)</f>
        <v>0</v>
      </c>
      <c r="J52" s="177">
        <f t="shared" ref="J52:J62" si="34">IF(AND(E52&gt;0,E52&lt;1),E52*$N6,0)</f>
        <v>0</v>
      </c>
      <c r="K52" s="177">
        <f t="shared" ref="K52:K62" si="35">IF(AND(F52&gt;0,F52&lt;1),F52*$N6,0)</f>
        <v>0</v>
      </c>
      <c r="L52" s="177">
        <f t="shared" ref="L52:L62" si="36">IF(AND(G52&gt;0,G52&lt;1),G52*$N6,0)</f>
        <v>0</v>
      </c>
      <c r="O52">
        <f t="shared" ref="O52:O62" si="37">IF(J52&gt;0,$N6-J52,IF(I52&gt;0,I52,IF(AND($V6&gt;N$51,$V6&lt;=O$51),$N6-I52,0)))</f>
        <v>2</v>
      </c>
      <c r="P52">
        <f t="shared" ref="P52:P62" si="38">IF(K52&gt;0,$N6-K52,IF(J52&gt;0,J52,IF(AND($V6&gt;O$51,$V6&lt;=P$51),$N6-J52,0)))</f>
        <v>0</v>
      </c>
      <c r="Q52">
        <f t="shared" ref="Q52:Q62" si="39">IF(L52&gt;0,$N6-L52,IF(K52&gt;0,K52,IF(AND($V6&gt;P$51,$V6&lt;=Q$51),$N6-K52,0)))</f>
        <v>0</v>
      </c>
      <c r="R52">
        <f t="shared" ref="R52:R62" si="40">IF(M52&gt;0,$N6-M52,IF(L52&gt;0,L52,IF(AND($V6&gt;Q$51,$V6&lt;=R$51),$N6-L52,0)))</f>
        <v>0</v>
      </c>
    </row>
    <row r="53" spans="3:18" x14ac:dyDescent="0.2">
      <c r="C53" s="175" t="s">
        <v>8</v>
      </c>
      <c r="D53" s="177">
        <f t="shared" si="32"/>
        <v>0</v>
      </c>
      <c r="E53" s="177">
        <f t="shared" si="32"/>
        <v>0</v>
      </c>
      <c r="F53" s="177">
        <f t="shared" si="32"/>
        <v>0</v>
      </c>
      <c r="G53" s="177">
        <f t="shared" si="32"/>
        <v>1</v>
      </c>
      <c r="I53" s="177">
        <f t="shared" si="33"/>
        <v>0</v>
      </c>
      <c r="J53" s="177">
        <f t="shared" si="34"/>
        <v>0</v>
      </c>
      <c r="K53" s="177">
        <f t="shared" si="35"/>
        <v>0</v>
      </c>
      <c r="L53" s="177">
        <f t="shared" si="36"/>
        <v>0</v>
      </c>
      <c r="O53">
        <f t="shared" si="37"/>
        <v>0</v>
      </c>
      <c r="P53">
        <f t="shared" si="38"/>
        <v>0</v>
      </c>
      <c r="Q53">
        <f t="shared" si="39"/>
        <v>0</v>
      </c>
      <c r="R53">
        <f t="shared" si="40"/>
        <v>1</v>
      </c>
    </row>
    <row r="54" spans="3:18" x14ac:dyDescent="0.2">
      <c r="C54" t="s">
        <v>9</v>
      </c>
      <c r="D54" s="177">
        <f t="shared" si="32"/>
        <v>0</v>
      </c>
      <c r="E54" s="177">
        <f t="shared" si="32"/>
        <v>0</v>
      </c>
      <c r="F54" s="177">
        <f t="shared" si="32"/>
        <v>4</v>
      </c>
      <c r="G54" s="177">
        <f t="shared" si="32"/>
        <v>0</v>
      </c>
      <c r="I54" s="177">
        <f t="shared" si="33"/>
        <v>0</v>
      </c>
      <c r="J54" s="177">
        <f t="shared" si="34"/>
        <v>0</v>
      </c>
      <c r="K54" s="177">
        <f t="shared" si="35"/>
        <v>0</v>
      </c>
      <c r="L54" s="177">
        <f t="shared" si="36"/>
        <v>0</v>
      </c>
      <c r="O54">
        <f t="shared" si="37"/>
        <v>0</v>
      </c>
      <c r="P54">
        <f t="shared" si="38"/>
        <v>0</v>
      </c>
      <c r="Q54">
        <f t="shared" si="39"/>
        <v>1</v>
      </c>
      <c r="R54">
        <f t="shared" si="40"/>
        <v>0</v>
      </c>
    </row>
    <row r="55" spans="3:18" x14ac:dyDescent="0.2">
      <c r="C55" t="s">
        <v>10</v>
      </c>
      <c r="D55" s="177">
        <f t="shared" si="32"/>
        <v>0</v>
      </c>
      <c r="E55" s="177">
        <f t="shared" si="32"/>
        <v>0</v>
      </c>
      <c r="F55" s="177">
        <f t="shared" si="32"/>
        <v>0</v>
      </c>
      <c r="G55" s="177">
        <f t="shared" si="32"/>
        <v>4</v>
      </c>
      <c r="I55" s="177">
        <f t="shared" si="33"/>
        <v>0</v>
      </c>
      <c r="J55" s="177">
        <f t="shared" si="34"/>
        <v>0</v>
      </c>
      <c r="K55" s="177">
        <f t="shared" si="35"/>
        <v>0</v>
      </c>
      <c r="L55" s="177">
        <f t="shared" si="36"/>
        <v>0</v>
      </c>
      <c r="O55">
        <f t="shared" si="37"/>
        <v>0</v>
      </c>
      <c r="P55">
        <f t="shared" si="38"/>
        <v>0</v>
      </c>
      <c r="Q55">
        <f t="shared" si="39"/>
        <v>0</v>
      </c>
      <c r="R55">
        <f t="shared" si="40"/>
        <v>1</v>
      </c>
    </row>
    <row r="56" spans="3:18" x14ac:dyDescent="0.2">
      <c r="C56" t="s">
        <v>11</v>
      </c>
      <c r="D56" s="177">
        <f t="shared" si="32"/>
        <v>16</v>
      </c>
      <c r="E56" s="177">
        <f t="shared" si="32"/>
        <v>0</v>
      </c>
      <c r="F56" s="177">
        <f t="shared" si="32"/>
        <v>0</v>
      </c>
      <c r="G56" s="177">
        <f t="shared" si="32"/>
        <v>0</v>
      </c>
      <c r="I56" s="177">
        <f t="shared" si="33"/>
        <v>0</v>
      </c>
      <c r="J56" s="177">
        <f t="shared" si="34"/>
        <v>0</v>
      </c>
      <c r="K56" s="177">
        <f t="shared" si="35"/>
        <v>0</v>
      </c>
      <c r="L56" s="177">
        <f t="shared" si="36"/>
        <v>0</v>
      </c>
      <c r="O56">
        <f t="shared" si="37"/>
        <v>2</v>
      </c>
      <c r="P56">
        <f t="shared" si="38"/>
        <v>0</v>
      </c>
      <c r="Q56">
        <f t="shared" si="39"/>
        <v>0</v>
      </c>
      <c r="R56">
        <f t="shared" si="40"/>
        <v>0</v>
      </c>
    </row>
    <row r="57" spans="3:18" x14ac:dyDescent="0.2">
      <c r="C57" t="s">
        <v>12</v>
      </c>
      <c r="D57" s="177">
        <f t="shared" si="32"/>
        <v>0</v>
      </c>
      <c r="E57" s="177">
        <f t="shared" si="32"/>
        <v>0</v>
      </c>
      <c r="F57" s="177">
        <f t="shared" si="32"/>
        <v>1</v>
      </c>
      <c r="G57" s="177">
        <f t="shared" si="32"/>
        <v>0</v>
      </c>
      <c r="I57" s="177">
        <f t="shared" si="33"/>
        <v>0</v>
      </c>
      <c r="J57" s="177">
        <f t="shared" si="34"/>
        <v>0</v>
      </c>
      <c r="K57" s="177">
        <f t="shared" si="35"/>
        <v>0</v>
      </c>
      <c r="L57" s="177">
        <f t="shared" si="36"/>
        <v>0</v>
      </c>
      <c r="O57">
        <f t="shared" si="37"/>
        <v>0</v>
      </c>
      <c r="P57">
        <f t="shared" si="38"/>
        <v>0</v>
      </c>
      <c r="Q57">
        <f t="shared" si="39"/>
        <v>2</v>
      </c>
      <c r="R57">
        <f t="shared" si="40"/>
        <v>0</v>
      </c>
    </row>
    <row r="58" spans="3:18" x14ac:dyDescent="0.2">
      <c r="C58" t="s">
        <v>13</v>
      </c>
      <c r="D58" s="177">
        <f t="shared" si="32"/>
        <v>0</v>
      </c>
      <c r="E58" s="177">
        <f t="shared" si="32"/>
        <v>0</v>
      </c>
      <c r="F58" s="177">
        <f t="shared" si="32"/>
        <v>3</v>
      </c>
      <c r="G58" s="177">
        <f t="shared" si="32"/>
        <v>0</v>
      </c>
      <c r="I58" s="177">
        <f t="shared" si="33"/>
        <v>0</v>
      </c>
      <c r="J58" s="177">
        <f t="shared" si="34"/>
        <v>0</v>
      </c>
      <c r="K58" s="177">
        <f t="shared" si="35"/>
        <v>0</v>
      </c>
      <c r="L58" s="177">
        <f t="shared" si="36"/>
        <v>0</v>
      </c>
      <c r="O58">
        <f t="shared" si="37"/>
        <v>0</v>
      </c>
      <c r="P58">
        <f t="shared" si="38"/>
        <v>0</v>
      </c>
      <c r="Q58">
        <f t="shared" si="39"/>
        <v>1</v>
      </c>
      <c r="R58">
        <f t="shared" si="40"/>
        <v>0</v>
      </c>
    </row>
    <row r="59" spans="3:18" x14ac:dyDescent="0.2">
      <c r="C59" t="s">
        <v>14</v>
      </c>
      <c r="D59" s="177">
        <f t="shared" si="32"/>
        <v>0</v>
      </c>
      <c r="E59" s="177">
        <f t="shared" si="32"/>
        <v>0</v>
      </c>
      <c r="F59" s="177">
        <f t="shared" si="32"/>
        <v>0.5</v>
      </c>
      <c r="G59" s="177">
        <f t="shared" si="32"/>
        <v>0</v>
      </c>
      <c r="I59" s="177">
        <f t="shared" si="33"/>
        <v>0</v>
      </c>
      <c r="J59" s="177">
        <f t="shared" si="34"/>
        <v>0</v>
      </c>
      <c r="K59" s="177">
        <f t="shared" si="35"/>
        <v>1</v>
      </c>
      <c r="L59" s="177">
        <f t="shared" si="36"/>
        <v>0</v>
      </c>
      <c r="O59">
        <f t="shared" si="37"/>
        <v>0</v>
      </c>
      <c r="P59">
        <f t="shared" si="38"/>
        <v>1</v>
      </c>
      <c r="Q59">
        <f t="shared" si="39"/>
        <v>1</v>
      </c>
      <c r="R59">
        <f t="shared" si="40"/>
        <v>0</v>
      </c>
    </row>
    <row r="60" spans="3:18" x14ac:dyDescent="0.2">
      <c r="C60" t="s">
        <v>15</v>
      </c>
      <c r="D60" s="177">
        <f t="shared" si="32"/>
        <v>0</v>
      </c>
      <c r="E60" s="177">
        <f t="shared" si="32"/>
        <v>0</v>
      </c>
      <c r="F60" s="177">
        <f t="shared" si="32"/>
        <v>0</v>
      </c>
      <c r="G60" s="177">
        <f t="shared" si="32"/>
        <v>1</v>
      </c>
      <c r="I60" s="177">
        <f t="shared" si="33"/>
        <v>0</v>
      </c>
      <c r="J60" s="177">
        <f t="shared" si="34"/>
        <v>0</v>
      </c>
      <c r="K60" s="177">
        <f t="shared" si="35"/>
        <v>0</v>
      </c>
      <c r="L60" s="177">
        <f t="shared" si="36"/>
        <v>0</v>
      </c>
      <c r="O60">
        <f t="shared" si="37"/>
        <v>0</v>
      </c>
      <c r="P60">
        <f t="shared" si="38"/>
        <v>0</v>
      </c>
      <c r="Q60">
        <f t="shared" si="39"/>
        <v>0</v>
      </c>
      <c r="R60">
        <f t="shared" si="40"/>
        <v>2</v>
      </c>
    </row>
    <row r="61" spans="3:18" x14ac:dyDescent="0.2">
      <c r="C61" t="s">
        <v>16</v>
      </c>
      <c r="D61" s="177">
        <f t="shared" si="32"/>
        <v>0</v>
      </c>
      <c r="E61" s="177">
        <f t="shared" si="32"/>
        <v>0</v>
      </c>
      <c r="F61" s="177">
        <f t="shared" si="32"/>
        <v>1</v>
      </c>
      <c r="G61" s="177">
        <f t="shared" si="32"/>
        <v>0</v>
      </c>
      <c r="I61" s="177">
        <f t="shared" si="33"/>
        <v>0</v>
      </c>
      <c r="J61" s="177">
        <f t="shared" si="34"/>
        <v>0</v>
      </c>
      <c r="K61" s="177">
        <f t="shared" si="35"/>
        <v>0</v>
      </c>
      <c r="L61" s="177">
        <f t="shared" si="36"/>
        <v>0</v>
      </c>
      <c r="O61">
        <f t="shared" si="37"/>
        <v>0</v>
      </c>
      <c r="P61">
        <f t="shared" si="38"/>
        <v>0</v>
      </c>
      <c r="Q61">
        <f t="shared" si="39"/>
        <v>3</v>
      </c>
      <c r="R61">
        <f t="shared" si="40"/>
        <v>0</v>
      </c>
    </row>
    <row r="62" spans="3:18" x14ac:dyDescent="0.2">
      <c r="C62" t="s">
        <v>17</v>
      </c>
      <c r="D62" s="177">
        <f t="shared" si="32"/>
        <v>0</v>
      </c>
      <c r="E62" s="177">
        <f t="shared" si="32"/>
        <v>0</v>
      </c>
      <c r="F62" s="177">
        <f t="shared" si="32"/>
        <v>0</v>
      </c>
      <c r="G62" s="177">
        <f t="shared" si="32"/>
        <v>0</v>
      </c>
      <c r="I62" s="177">
        <f t="shared" si="33"/>
        <v>0</v>
      </c>
      <c r="J62" s="177">
        <f t="shared" si="34"/>
        <v>0</v>
      </c>
      <c r="K62" s="177">
        <f t="shared" si="35"/>
        <v>0</v>
      </c>
      <c r="L62" s="177">
        <f t="shared" si="36"/>
        <v>0</v>
      </c>
      <c r="O62">
        <f t="shared" si="37"/>
        <v>0</v>
      </c>
      <c r="P62">
        <f t="shared" si="38"/>
        <v>0</v>
      </c>
      <c r="Q62">
        <f t="shared" si="39"/>
        <v>0</v>
      </c>
      <c r="R62">
        <f t="shared" si="40"/>
        <v>0</v>
      </c>
    </row>
    <row r="63" spans="3:18" x14ac:dyDescent="0.2">
      <c r="C63" t="s">
        <v>18</v>
      </c>
      <c r="O63">
        <f>SUM(O52:O62)</f>
        <v>4</v>
      </c>
      <c r="P63">
        <f>SUM(P52:P62)</f>
        <v>1</v>
      </c>
      <c r="Q63">
        <f>SUM(Q52:Q62)</f>
        <v>8</v>
      </c>
      <c r="R63">
        <f>SUM(R52:R62)</f>
        <v>4</v>
      </c>
    </row>
    <row r="65" spans="3:18" x14ac:dyDescent="0.2">
      <c r="C65" t="s">
        <v>5</v>
      </c>
    </row>
    <row r="66" spans="3:18" x14ac:dyDescent="0.2">
      <c r="C66">
        <f>$C$21</f>
        <v>0</v>
      </c>
      <c r="D66">
        <f>$D$21</f>
        <v>18</v>
      </c>
      <c r="E66">
        <f>$E$21</f>
        <v>20</v>
      </c>
      <c r="F66">
        <f>$F$21</f>
        <v>24</v>
      </c>
      <c r="G66">
        <f>$G$21</f>
        <v>28</v>
      </c>
      <c r="N66">
        <v>0</v>
      </c>
      <c r="O66" s="26">
        <v>18</v>
      </c>
      <c r="P66" s="26">
        <v>20</v>
      </c>
      <c r="Q66" s="26">
        <v>24</v>
      </c>
      <c r="R66" s="26">
        <v>28</v>
      </c>
    </row>
    <row r="67" spans="3:18" x14ac:dyDescent="0.2">
      <c r="C67" s="175" t="s">
        <v>7</v>
      </c>
      <c r="D67" s="177">
        <f t="shared" ref="D67:G77" si="41">IF(AND($W6&lt;=D$21,$W6&gt;C$21),$W6-C$21,0)</f>
        <v>0</v>
      </c>
      <c r="E67" s="177">
        <f t="shared" si="41"/>
        <v>0</v>
      </c>
      <c r="F67" s="177">
        <f t="shared" si="41"/>
        <v>2</v>
      </c>
      <c r="G67" s="177">
        <f t="shared" si="41"/>
        <v>0</v>
      </c>
      <c r="I67" s="177">
        <f t="shared" ref="I67:I77" si="42">IF(AND(D67&gt;0,D67&lt;1),D67*$O6,0)</f>
        <v>0</v>
      </c>
      <c r="J67" s="177">
        <f t="shared" ref="J67:J77" si="43">IF(AND(E67&gt;0,E67&lt;1),E67*$O6,0)</f>
        <v>0</v>
      </c>
      <c r="K67" s="177">
        <f t="shared" ref="K67:K77" si="44">IF(AND(F67&gt;0,F67&lt;1),F67*$O6,0)</f>
        <v>0</v>
      </c>
      <c r="L67" s="177">
        <f t="shared" ref="L67:L77" si="45">IF(AND(G67&gt;0,G67&lt;1),G67*$O6,0)</f>
        <v>0</v>
      </c>
      <c r="O67">
        <f t="shared" ref="O67:O77" si="46">IF(J67&gt;0,$O6-J67,IF(I67&gt;0,I67,IF(AND($W6&gt;N$66,$W6&lt;=O$66),$O6-I67,0)))</f>
        <v>0</v>
      </c>
      <c r="P67">
        <f t="shared" ref="P67:P77" si="47">IF(K67&gt;0,$O6-K67,IF(J67&gt;0,J67,IF(AND($W6&gt;O$66,$W6&lt;=P$66),$O6-J67,0)))</f>
        <v>0</v>
      </c>
      <c r="Q67">
        <f t="shared" ref="Q67:Q77" si="48">IF(L67&gt;0,$O6-L67,IF(K67&gt;0,K67,IF(AND($W6&gt;P$66,$W6&lt;=Q$66),$O6-K67,0)))</f>
        <v>1</v>
      </c>
      <c r="R67">
        <f t="shared" ref="R67:R77" si="49">IF(M67&gt;0,$O6-M67,IF(L67&gt;0,L67,IF(AND($W6&gt;Q$66,$W6&lt;=R$66),$O6-L67,0)))</f>
        <v>0</v>
      </c>
    </row>
    <row r="68" spans="3:18" x14ac:dyDescent="0.2">
      <c r="C68" s="175" t="s">
        <v>8</v>
      </c>
      <c r="D68" s="177">
        <f t="shared" si="41"/>
        <v>9</v>
      </c>
      <c r="E68" s="177">
        <f t="shared" si="41"/>
        <v>0</v>
      </c>
      <c r="F68" s="177">
        <f t="shared" si="41"/>
        <v>0</v>
      </c>
      <c r="G68" s="177">
        <f t="shared" si="41"/>
        <v>0</v>
      </c>
      <c r="I68" s="177">
        <f t="shared" si="42"/>
        <v>0</v>
      </c>
      <c r="J68" s="177">
        <f t="shared" si="43"/>
        <v>0</v>
      </c>
      <c r="K68" s="177">
        <f t="shared" si="44"/>
        <v>0</v>
      </c>
      <c r="L68" s="177">
        <f t="shared" si="45"/>
        <v>0</v>
      </c>
      <c r="O68">
        <f t="shared" si="46"/>
        <v>1</v>
      </c>
      <c r="P68">
        <f t="shared" si="47"/>
        <v>0</v>
      </c>
      <c r="Q68">
        <f t="shared" si="48"/>
        <v>0</v>
      </c>
      <c r="R68">
        <f t="shared" si="49"/>
        <v>0</v>
      </c>
    </row>
    <row r="69" spans="3:18" x14ac:dyDescent="0.2">
      <c r="C69" t="s">
        <v>9</v>
      </c>
      <c r="D69" s="177">
        <f t="shared" si="41"/>
        <v>17</v>
      </c>
      <c r="E69" s="177">
        <f t="shared" si="41"/>
        <v>0</v>
      </c>
      <c r="F69" s="177">
        <f t="shared" si="41"/>
        <v>0</v>
      </c>
      <c r="G69" s="177">
        <f t="shared" si="41"/>
        <v>0</v>
      </c>
      <c r="I69" s="177">
        <f t="shared" si="42"/>
        <v>0</v>
      </c>
      <c r="J69" s="177">
        <f t="shared" si="43"/>
        <v>0</v>
      </c>
      <c r="K69" s="177">
        <f t="shared" si="44"/>
        <v>0</v>
      </c>
      <c r="L69" s="177">
        <f t="shared" si="45"/>
        <v>0</v>
      </c>
      <c r="O69">
        <f t="shared" si="46"/>
        <v>1</v>
      </c>
      <c r="P69">
        <f t="shared" si="47"/>
        <v>0</v>
      </c>
      <c r="Q69">
        <f t="shared" si="48"/>
        <v>0</v>
      </c>
      <c r="R69">
        <f t="shared" si="49"/>
        <v>0</v>
      </c>
    </row>
    <row r="70" spans="3:18" x14ac:dyDescent="0.2">
      <c r="C70" t="s">
        <v>10</v>
      </c>
      <c r="D70" s="177">
        <f t="shared" si="41"/>
        <v>14</v>
      </c>
      <c r="E70" s="177">
        <f t="shared" si="41"/>
        <v>0</v>
      </c>
      <c r="F70" s="177">
        <f t="shared" si="41"/>
        <v>0</v>
      </c>
      <c r="G70" s="177">
        <f t="shared" si="41"/>
        <v>0</v>
      </c>
      <c r="I70" s="177">
        <f t="shared" si="42"/>
        <v>0</v>
      </c>
      <c r="J70" s="177">
        <f t="shared" si="43"/>
        <v>0</v>
      </c>
      <c r="K70" s="177">
        <f t="shared" si="44"/>
        <v>0</v>
      </c>
      <c r="L70" s="177">
        <f t="shared" si="45"/>
        <v>0</v>
      </c>
      <c r="O70">
        <f t="shared" si="46"/>
        <v>1</v>
      </c>
      <c r="P70">
        <f t="shared" si="47"/>
        <v>0</v>
      </c>
      <c r="Q70">
        <f t="shared" si="48"/>
        <v>0</v>
      </c>
      <c r="R70">
        <f t="shared" si="49"/>
        <v>0</v>
      </c>
    </row>
    <row r="71" spans="3:18" x14ac:dyDescent="0.2">
      <c r="C71" t="s">
        <v>11</v>
      </c>
      <c r="D71" s="177">
        <f t="shared" si="41"/>
        <v>0</v>
      </c>
      <c r="E71" s="177">
        <f t="shared" si="41"/>
        <v>0</v>
      </c>
      <c r="F71" s="177">
        <f t="shared" si="41"/>
        <v>2</v>
      </c>
      <c r="G71" s="177">
        <f t="shared" si="41"/>
        <v>0</v>
      </c>
      <c r="I71" s="177">
        <f t="shared" si="42"/>
        <v>0</v>
      </c>
      <c r="J71" s="177">
        <f t="shared" si="43"/>
        <v>0</v>
      </c>
      <c r="K71" s="177">
        <f t="shared" si="44"/>
        <v>0</v>
      </c>
      <c r="L71" s="177">
        <f t="shared" si="45"/>
        <v>0</v>
      </c>
      <c r="O71">
        <f t="shared" si="46"/>
        <v>0</v>
      </c>
      <c r="P71">
        <f t="shared" si="47"/>
        <v>0</v>
      </c>
      <c r="Q71">
        <f t="shared" si="48"/>
        <v>1</v>
      </c>
      <c r="R71">
        <f t="shared" si="49"/>
        <v>0</v>
      </c>
    </row>
    <row r="72" spans="3:18" x14ac:dyDescent="0.2">
      <c r="C72" t="s">
        <v>12</v>
      </c>
      <c r="D72" s="177">
        <f t="shared" si="41"/>
        <v>0</v>
      </c>
      <c r="E72" s="177">
        <f t="shared" si="41"/>
        <v>0</v>
      </c>
      <c r="F72" s="177">
        <f t="shared" si="41"/>
        <v>3</v>
      </c>
      <c r="G72" s="177">
        <f t="shared" si="41"/>
        <v>0</v>
      </c>
      <c r="I72" s="177">
        <f t="shared" si="42"/>
        <v>0</v>
      </c>
      <c r="J72" s="177">
        <f t="shared" si="43"/>
        <v>0</v>
      </c>
      <c r="K72" s="177">
        <f t="shared" si="44"/>
        <v>0</v>
      </c>
      <c r="L72" s="177">
        <f t="shared" si="45"/>
        <v>0</v>
      </c>
      <c r="O72">
        <f t="shared" si="46"/>
        <v>0</v>
      </c>
      <c r="P72">
        <f t="shared" si="47"/>
        <v>0</v>
      </c>
      <c r="Q72">
        <f t="shared" si="48"/>
        <v>1</v>
      </c>
      <c r="R72">
        <f t="shared" si="49"/>
        <v>0</v>
      </c>
    </row>
    <row r="73" spans="3:18" x14ac:dyDescent="0.2">
      <c r="C73" t="s">
        <v>13</v>
      </c>
      <c r="D73" s="177">
        <f t="shared" si="41"/>
        <v>18</v>
      </c>
      <c r="E73" s="177">
        <f t="shared" si="41"/>
        <v>0</v>
      </c>
      <c r="F73" s="177">
        <f t="shared" si="41"/>
        <v>0</v>
      </c>
      <c r="G73" s="177">
        <f t="shared" si="41"/>
        <v>0</v>
      </c>
      <c r="I73" s="177">
        <f t="shared" si="42"/>
        <v>0</v>
      </c>
      <c r="J73" s="177">
        <f t="shared" si="43"/>
        <v>0</v>
      </c>
      <c r="K73" s="177">
        <f t="shared" si="44"/>
        <v>0</v>
      </c>
      <c r="L73" s="177">
        <f t="shared" si="45"/>
        <v>0</v>
      </c>
      <c r="O73">
        <f t="shared" si="46"/>
        <v>1</v>
      </c>
      <c r="P73">
        <f t="shared" si="47"/>
        <v>0</v>
      </c>
      <c r="Q73">
        <f t="shared" si="48"/>
        <v>0</v>
      </c>
      <c r="R73">
        <f t="shared" si="49"/>
        <v>0</v>
      </c>
    </row>
    <row r="74" spans="3:18" x14ac:dyDescent="0.2">
      <c r="C74" t="s">
        <v>14</v>
      </c>
      <c r="D74" s="177">
        <f t="shared" si="41"/>
        <v>16</v>
      </c>
      <c r="E74" s="177">
        <f t="shared" si="41"/>
        <v>0</v>
      </c>
      <c r="F74" s="177">
        <f t="shared" si="41"/>
        <v>0</v>
      </c>
      <c r="G74" s="177">
        <f t="shared" si="41"/>
        <v>0</v>
      </c>
      <c r="I74" s="177">
        <f t="shared" si="42"/>
        <v>0</v>
      </c>
      <c r="J74" s="177">
        <f t="shared" si="43"/>
        <v>0</v>
      </c>
      <c r="K74" s="177">
        <f t="shared" si="44"/>
        <v>0</v>
      </c>
      <c r="L74" s="177">
        <f t="shared" si="45"/>
        <v>0</v>
      </c>
      <c r="O74">
        <f t="shared" si="46"/>
        <v>1</v>
      </c>
      <c r="P74">
        <f t="shared" si="47"/>
        <v>0</v>
      </c>
      <c r="Q74">
        <f t="shared" si="48"/>
        <v>0</v>
      </c>
      <c r="R74">
        <f t="shared" si="49"/>
        <v>0</v>
      </c>
    </row>
    <row r="75" spans="3:18" x14ac:dyDescent="0.2">
      <c r="C75" t="s">
        <v>15</v>
      </c>
      <c r="D75" s="177">
        <f t="shared" si="41"/>
        <v>0</v>
      </c>
      <c r="E75" s="177">
        <f t="shared" si="41"/>
        <v>0</v>
      </c>
      <c r="F75" s="177">
        <f t="shared" si="41"/>
        <v>0</v>
      </c>
      <c r="G75" s="177">
        <f t="shared" si="41"/>
        <v>1</v>
      </c>
      <c r="I75" s="177">
        <f t="shared" si="42"/>
        <v>0</v>
      </c>
      <c r="J75" s="177">
        <f t="shared" si="43"/>
        <v>0</v>
      </c>
      <c r="K75" s="177">
        <f t="shared" si="44"/>
        <v>0</v>
      </c>
      <c r="L75" s="177">
        <f t="shared" si="45"/>
        <v>0</v>
      </c>
      <c r="O75">
        <f t="shared" si="46"/>
        <v>0</v>
      </c>
      <c r="P75">
        <f t="shared" si="47"/>
        <v>0</v>
      </c>
      <c r="Q75">
        <f t="shared" si="48"/>
        <v>0</v>
      </c>
      <c r="R75">
        <f t="shared" si="49"/>
        <v>1</v>
      </c>
    </row>
    <row r="76" spans="3:18" x14ac:dyDescent="0.2">
      <c r="C76" t="s">
        <v>16</v>
      </c>
      <c r="D76" s="177">
        <f t="shared" si="41"/>
        <v>13</v>
      </c>
      <c r="E76" s="177">
        <f t="shared" si="41"/>
        <v>0</v>
      </c>
      <c r="F76" s="177">
        <f t="shared" si="41"/>
        <v>0</v>
      </c>
      <c r="G76" s="177">
        <f t="shared" si="41"/>
        <v>0</v>
      </c>
      <c r="I76" s="177">
        <f t="shared" si="42"/>
        <v>0</v>
      </c>
      <c r="J76" s="177">
        <f t="shared" si="43"/>
        <v>0</v>
      </c>
      <c r="K76" s="177">
        <f t="shared" si="44"/>
        <v>0</v>
      </c>
      <c r="L76" s="177">
        <f t="shared" si="45"/>
        <v>0</v>
      </c>
      <c r="O76">
        <f t="shared" si="46"/>
        <v>1</v>
      </c>
      <c r="P76">
        <f t="shared" si="47"/>
        <v>0</v>
      </c>
      <c r="Q76">
        <f t="shared" si="48"/>
        <v>0</v>
      </c>
      <c r="R76">
        <f t="shared" si="49"/>
        <v>0</v>
      </c>
    </row>
    <row r="77" spans="3:18" x14ac:dyDescent="0.2">
      <c r="C77" t="s">
        <v>17</v>
      </c>
      <c r="D77" s="177">
        <f t="shared" si="41"/>
        <v>0</v>
      </c>
      <c r="E77" s="177">
        <f t="shared" si="41"/>
        <v>0</v>
      </c>
      <c r="F77" s="177">
        <f t="shared" si="41"/>
        <v>0</v>
      </c>
      <c r="G77" s="177">
        <f t="shared" si="41"/>
        <v>0</v>
      </c>
      <c r="I77" s="177">
        <f t="shared" si="42"/>
        <v>0</v>
      </c>
      <c r="J77" s="177">
        <f t="shared" si="43"/>
        <v>0</v>
      </c>
      <c r="K77" s="177">
        <f t="shared" si="44"/>
        <v>0</v>
      </c>
      <c r="L77" s="177">
        <f t="shared" si="45"/>
        <v>0</v>
      </c>
      <c r="O77">
        <f t="shared" si="46"/>
        <v>0</v>
      </c>
      <c r="P77">
        <f t="shared" si="47"/>
        <v>0</v>
      </c>
      <c r="Q77">
        <f t="shared" si="48"/>
        <v>0</v>
      </c>
      <c r="R77">
        <f t="shared" si="49"/>
        <v>0</v>
      </c>
    </row>
    <row r="78" spans="3:18" x14ac:dyDescent="0.2">
      <c r="C78" t="s">
        <v>18</v>
      </c>
      <c r="O78">
        <f>SUM(O67:O77)</f>
        <v>6</v>
      </c>
      <c r="P78">
        <f>SUM(P67:P77)</f>
        <v>0</v>
      </c>
      <c r="Q78">
        <f>SUM(Q67:Q77)</f>
        <v>3</v>
      </c>
      <c r="R78">
        <f>SUM(R67:R77)</f>
        <v>1</v>
      </c>
    </row>
    <row r="80" spans="3:18" x14ac:dyDescent="0.2">
      <c r="C80" s="175" t="s">
        <v>1</v>
      </c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</row>
    <row r="81" spans="3:18" x14ac:dyDescent="0.2">
      <c r="C81">
        <f>$C$21</f>
        <v>0</v>
      </c>
      <c r="D81">
        <f>$D$21</f>
        <v>18</v>
      </c>
      <c r="E81">
        <f>$E$21</f>
        <v>20</v>
      </c>
      <c r="F81">
        <f>$F$21</f>
        <v>24</v>
      </c>
      <c r="G81">
        <f>$G$21</f>
        <v>28</v>
      </c>
      <c r="H81" s="175"/>
      <c r="N81">
        <f>$C$21</f>
        <v>0</v>
      </c>
      <c r="O81">
        <f>$D$21</f>
        <v>18</v>
      </c>
      <c r="P81">
        <f>$E$21</f>
        <v>20</v>
      </c>
      <c r="Q81">
        <f>$F$21</f>
        <v>24</v>
      </c>
      <c r="R81">
        <f>$G$21</f>
        <v>28</v>
      </c>
    </row>
    <row r="82" spans="3:18" x14ac:dyDescent="0.2">
      <c r="C82" s="175" t="s">
        <v>7</v>
      </c>
      <c r="D82" s="177">
        <f t="shared" ref="D82:G92" si="50">IF(AND($X6&lt;=D$21,$X6&gt;C$21),$X6-C$21,0)</f>
        <v>0</v>
      </c>
      <c r="E82" s="177">
        <f t="shared" si="50"/>
        <v>0</v>
      </c>
      <c r="F82" s="177">
        <f t="shared" si="50"/>
        <v>0</v>
      </c>
      <c r="G82" s="177">
        <f t="shared" si="50"/>
        <v>3</v>
      </c>
      <c r="H82" s="175"/>
      <c r="I82" s="177">
        <f t="shared" ref="I82:I92" si="51">IF(AND(D82&gt;0,D82&lt;1),D82*$P6,0)</f>
        <v>0</v>
      </c>
      <c r="J82" s="177">
        <f t="shared" ref="J82:J92" si="52">IF(AND(E82&gt;0,E82&lt;1),E82*$P6,0)</f>
        <v>0</v>
      </c>
      <c r="K82" s="177">
        <f t="shared" ref="K82:K92" si="53">IF(AND(F82&gt;0,F82&lt;1),F82*$P6,0)</f>
        <v>0</v>
      </c>
      <c r="L82" s="177">
        <f t="shared" ref="L82:L92" si="54">IF(AND(G82&gt;0,G82&lt;1),G82*$P6,0)</f>
        <v>0</v>
      </c>
      <c r="O82">
        <f t="shared" ref="O82:O92" si="55">IF(J82&gt;0,$P6-J82,IF(I82&gt;0,I82,IF(AND($X6&gt;N$81,$X6&lt;=O$81),$P6-I82,0)))</f>
        <v>0</v>
      </c>
      <c r="P82">
        <f t="shared" ref="P82:P92" si="56">IF(K82&gt;0,$P6-K82,IF(J82&gt;0,J82,IF(AND($X6&gt;O$81,$X6&lt;=P$81),$P6-J82,0)))</f>
        <v>0</v>
      </c>
      <c r="Q82">
        <f t="shared" ref="Q82:Q92" si="57">IF(L82&gt;0,$P6-L82,IF(K82&gt;0,K82,IF(AND($X6&gt;P$81,$X6&lt;=Q$81),$P6-K82,0)))</f>
        <v>0</v>
      </c>
      <c r="R82">
        <f t="shared" ref="R82:R92" si="58">IF(M82&gt;0,$P6-M82,IF(L82&gt;0,L82,IF(AND($X6&gt;Q$81,$X6&lt;=R$81),$P6-L82,0)))</f>
        <v>2</v>
      </c>
    </row>
    <row r="83" spans="3:18" x14ac:dyDescent="0.2">
      <c r="C83" s="175" t="s">
        <v>8</v>
      </c>
      <c r="D83" s="177">
        <f t="shared" si="50"/>
        <v>0</v>
      </c>
      <c r="E83" s="177">
        <f t="shared" si="50"/>
        <v>0</v>
      </c>
      <c r="F83" s="177">
        <f t="shared" si="50"/>
        <v>0</v>
      </c>
      <c r="G83" s="177">
        <f t="shared" si="50"/>
        <v>4</v>
      </c>
      <c r="H83" s="175"/>
      <c r="I83" s="177">
        <f t="shared" si="51"/>
        <v>0</v>
      </c>
      <c r="J83" s="177">
        <f t="shared" si="52"/>
        <v>0</v>
      </c>
      <c r="K83" s="177">
        <f t="shared" si="53"/>
        <v>0</v>
      </c>
      <c r="L83" s="177">
        <f t="shared" si="54"/>
        <v>0</v>
      </c>
      <c r="O83">
        <f t="shared" si="55"/>
        <v>0</v>
      </c>
      <c r="P83">
        <f t="shared" si="56"/>
        <v>0</v>
      </c>
      <c r="Q83">
        <f t="shared" si="57"/>
        <v>0</v>
      </c>
      <c r="R83">
        <f t="shared" si="58"/>
        <v>1</v>
      </c>
    </row>
    <row r="84" spans="3:18" x14ac:dyDescent="0.2">
      <c r="C84" t="s">
        <v>9</v>
      </c>
      <c r="D84" s="177">
        <f t="shared" si="50"/>
        <v>0</v>
      </c>
      <c r="E84" s="177">
        <f t="shared" si="50"/>
        <v>0</v>
      </c>
      <c r="F84" s="177">
        <f t="shared" si="50"/>
        <v>2</v>
      </c>
      <c r="G84" s="177">
        <f t="shared" si="50"/>
        <v>0</v>
      </c>
      <c r="I84" s="177">
        <f t="shared" si="51"/>
        <v>0</v>
      </c>
      <c r="J84" s="177">
        <f t="shared" si="52"/>
        <v>0</v>
      </c>
      <c r="K84" s="177">
        <f t="shared" si="53"/>
        <v>0</v>
      </c>
      <c r="L84" s="177">
        <f t="shared" si="54"/>
        <v>0</v>
      </c>
      <c r="O84">
        <f t="shared" si="55"/>
        <v>0</v>
      </c>
      <c r="P84">
        <f t="shared" si="56"/>
        <v>0</v>
      </c>
      <c r="Q84">
        <f t="shared" si="57"/>
        <v>2</v>
      </c>
      <c r="R84">
        <f t="shared" si="58"/>
        <v>0</v>
      </c>
    </row>
    <row r="85" spans="3:18" x14ac:dyDescent="0.2">
      <c r="C85" t="s">
        <v>10</v>
      </c>
      <c r="D85" s="177">
        <f t="shared" si="50"/>
        <v>0</v>
      </c>
      <c r="E85" s="177">
        <f t="shared" si="50"/>
        <v>0</v>
      </c>
      <c r="F85" s="177">
        <f t="shared" si="50"/>
        <v>1.5</v>
      </c>
      <c r="G85" s="177">
        <f t="shared" si="50"/>
        <v>0</v>
      </c>
      <c r="I85" s="177">
        <f t="shared" si="51"/>
        <v>0</v>
      </c>
      <c r="J85" s="177">
        <f t="shared" si="52"/>
        <v>0</v>
      </c>
      <c r="K85" s="177">
        <f t="shared" si="53"/>
        <v>0</v>
      </c>
      <c r="L85" s="177">
        <f t="shared" si="54"/>
        <v>0</v>
      </c>
      <c r="O85">
        <f t="shared" si="55"/>
        <v>0</v>
      </c>
      <c r="P85">
        <f t="shared" si="56"/>
        <v>0</v>
      </c>
      <c r="Q85">
        <f t="shared" si="57"/>
        <v>2</v>
      </c>
      <c r="R85">
        <f t="shared" si="58"/>
        <v>0</v>
      </c>
    </row>
    <row r="86" spans="3:18" x14ac:dyDescent="0.2">
      <c r="C86" t="s">
        <v>11</v>
      </c>
      <c r="D86" s="177">
        <f t="shared" si="50"/>
        <v>0</v>
      </c>
      <c r="E86" s="177">
        <f t="shared" si="50"/>
        <v>0.5</v>
      </c>
      <c r="F86" s="177">
        <f t="shared" si="50"/>
        <v>0</v>
      </c>
      <c r="G86" s="177">
        <f t="shared" si="50"/>
        <v>0</v>
      </c>
      <c r="I86" s="177">
        <f t="shared" si="51"/>
        <v>0</v>
      </c>
      <c r="J86" s="177">
        <f t="shared" si="52"/>
        <v>1</v>
      </c>
      <c r="K86" s="177">
        <f t="shared" si="53"/>
        <v>0</v>
      </c>
      <c r="L86" s="177">
        <f t="shared" si="54"/>
        <v>0</v>
      </c>
      <c r="O86">
        <f t="shared" si="55"/>
        <v>1</v>
      </c>
      <c r="P86">
        <f t="shared" si="56"/>
        <v>1</v>
      </c>
      <c r="Q86">
        <f t="shared" si="57"/>
        <v>0</v>
      </c>
      <c r="R86">
        <f t="shared" si="58"/>
        <v>0</v>
      </c>
    </row>
    <row r="87" spans="3:18" x14ac:dyDescent="0.2">
      <c r="C87" t="s">
        <v>12</v>
      </c>
      <c r="D87" s="177">
        <f t="shared" si="50"/>
        <v>15</v>
      </c>
      <c r="E87" s="177">
        <f t="shared" si="50"/>
        <v>0</v>
      </c>
      <c r="F87" s="177">
        <f t="shared" si="50"/>
        <v>0</v>
      </c>
      <c r="G87" s="177">
        <f t="shared" si="50"/>
        <v>0</v>
      </c>
      <c r="I87" s="177">
        <f t="shared" si="51"/>
        <v>0</v>
      </c>
      <c r="J87" s="177">
        <f t="shared" si="52"/>
        <v>0</v>
      </c>
      <c r="K87" s="177">
        <f t="shared" si="53"/>
        <v>0</v>
      </c>
      <c r="L87" s="177">
        <f t="shared" si="54"/>
        <v>0</v>
      </c>
      <c r="O87">
        <f t="shared" si="55"/>
        <v>2</v>
      </c>
      <c r="P87">
        <f t="shared" si="56"/>
        <v>0</v>
      </c>
      <c r="Q87">
        <f t="shared" si="57"/>
        <v>0</v>
      </c>
      <c r="R87">
        <f t="shared" si="58"/>
        <v>0</v>
      </c>
    </row>
    <row r="88" spans="3:18" x14ac:dyDescent="0.2">
      <c r="C88" t="s">
        <v>13</v>
      </c>
      <c r="D88" s="177">
        <f t="shared" si="50"/>
        <v>0</v>
      </c>
      <c r="E88" s="177">
        <f t="shared" si="50"/>
        <v>0</v>
      </c>
      <c r="F88" s="177">
        <f t="shared" si="50"/>
        <v>4</v>
      </c>
      <c r="G88" s="177">
        <f t="shared" si="50"/>
        <v>0</v>
      </c>
      <c r="I88" s="177">
        <f t="shared" si="51"/>
        <v>0</v>
      </c>
      <c r="J88" s="177">
        <f t="shared" si="52"/>
        <v>0</v>
      </c>
      <c r="K88" s="177">
        <f t="shared" si="53"/>
        <v>0</v>
      </c>
      <c r="L88" s="177">
        <f t="shared" si="54"/>
        <v>0</v>
      </c>
      <c r="O88">
        <f t="shared" si="55"/>
        <v>0</v>
      </c>
      <c r="P88">
        <f t="shared" si="56"/>
        <v>0</v>
      </c>
      <c r="Q88">
        <f t="shared" si="57"/>
        <v>2</v>
      </c>
      <c r="R88">
        <f t="shared" si="58"/>
        <v>0</v>
      </c>
    </row>
    <row r="89" spans="3:18" x14ac:dyDescent="0.2">
      <c r="C89" t="s">
        <v>14</v>
      </c>
      <c r="D89" s="177">
        <f t="shared" si="50"/>
        <v>0</v>
      </c>
      <c r="E89" s="177">
        <f t="shared" si="50"/>
        <v>0</v>
      </c>
      <c r="F89" s="177">
        <f t="shared" si="50"/>
        <v>3</v>
      </c>
      <c r="G89" s="177">
        <f t="shared" si="50"/>
        <v>0</v>
      </c>
      <c r="I89" s="177">
        <f t="shared" si="51"/>
        <v>0</v>
      </c>
      <c r="J89" s="177">
        <f t="shared" si="52"/>
        <v>0</v>
      </c>
      <c r="K89" s="177">
        <f t="shared" si="53"/>
        <v>0</v>
      </c>
      <c r="L89" s="177">
        <f t="shared" si="54"/>
        <v>0</v>
      </c>
      <c r="O89">
        <f t="shared" si="55"/>
        <v>0</v>
      </c>
      <c r="P89">
        <f t="shared" si="56"/>
        <v>0</v>
      </c>
      <c r="Q89">
        <f t="shared" si="57"/>
        <v>2</v>
      </c>
      <c r="R89">
        <f t="shared" si="58"/>
        <v>0</v>
      </c>
    </row>
    <row r="90" spans="3:18" x14ac:dyDescent="0.2">
      <c r="C90" t="s">
        <v>15</v>
      </c>
      <c r="D90" s="177">
        <f t="shared" si="50"/>
        <v>0</v>
      </c>
      <c r="E90" s="177">
        <f t="shared" si="50"/>
        <v>0</v>
      </c>
      <c r="F90" s="177">
        <f t="shared" si="50"/>
        <v>0</v>
      </c>
      <c r="G90" s="177">
        <f t="shared" si="50"/>
        <v>2</v>
      </c>
      <c r="I90" s="177">
        <f t="shared" si="51"/>
        <v>0</v>
      </c>
      <c r="J90" s="177">
        <f t="shared" si="52"/>
        <v>0</v>
      </c>
      <c r="K90" s="177">
        <f t="shared" si="53"/>
        <v>0</v>
      </c>
      <c r="L90" s="177">
        <f t="shared" si="54"/>
        <v>0</v>
      </c>
      <c r="O90">
        <f t="shared" si="55"/>
        <v>0</v>
      </c>
      <c r="P90">
        <f t="shared" si="56"/>
        <v>0</v>
      </c>
      <c r="Q90">
        <f t="shared" si="57"/>
        <v>0</v>
      </c>
      <c r="R90">
        <f t="shared" si="58"/>
        <v>2</v>
      </c>
    </row>
    <row r="91" spans="3:18" x14ac:dyDescent="0.2">
      <c r="C91" t="s">
        <v>16</v>
      </c>
      <c r="D91" s="177">
        <f t="shared" si="50"/>
        <v>0</v>
      </c>
      <c r="E91" s="177">
        <f t="shared" si="50"/>
        <v>0</v>
      </c>
      <c r="F91" s="177">
        <f t="shared" si="50"/>
        <v>3</v>
      </c>
      <c r="G91" s="177">
        <f t="shared" si="50"/>
        <v>0</v>
      </c>
      <c r="I91" s="177">
        <f t="shared" si="51"/>
        <v>0</v>
      </c>
      <c r="J91" s="177">
        <f t="shared" si="52"/>
        <v>0</v>
      </c>
      <c r="K91" s="177">
        <f t="shared" si="53"/>
        <v>0</v>
      </c>
      <c r="L91" s="177">
        <f t="shared" si="54"/>
        <v>0</v>
      </c>
      <c r="O91">
        <f t="shared" si="55"/>
        <v>0</v>
      </c>
      <c r="P91">
        <f t="shared" si="56"/>
        <v>0</v>
      </c>
      <c r="Q91">
        <f t="shared" si="57"/>
        <v>2</v>
      </c>
      <c r="R91">
        <f t="shared" si="58"/>
        <v>0</v>
      </c>
    </row>
    <row r="92" spans="3:18" x14ac:dyDescent="0.2">
      <c r="C92" t="s">
        <v>17</v>
      </c>
      <c r="D92" s="177">
        <f t="shared" si="50"/>
        <v>0</v>
      </c>
      <c r="E92" s="177">
        <f t="shared" si="50"/>
        <v>0</v>
      </c>
      <c r="F92" s="177">
        <f t="shared" si="50"/>
        <v>0</v>
      </c>
      <c r="G92" s="177">
        <f t="shared" si="50"/>
        <v>0</v>
      </c>
      <c r="I92" s="177">
        <f t="shared" si="51"/>
        <v>0</v>
      </c>
      <c r="J92" s="177">
        <f t="shared" si="52"/>
        <v>0</v>
      </c>
      <c r="K92" s="177">
        <f t="shared" si="53"/>
        <v>0</v>
      </c>
      <c r="L92" s="177">
        <f t="shared" si="54"/>
        <v>0</v>
      </c>
      <c r="O92">
        <f t="shared" si="55"/>
        <v>0</v>
      </c>
      <c r="P92">
        <f t="shared" si="56"/>
        <v>0</v>
      </c>
      <c r="Q92">
        <f t="shared" si="57"/>
        <v>0</v>
      </c>
      <c r="R92">
        <f t="shared" si="58"/>
        <v>0</v>
      </c>
    </row>
    <row r="93" spans="3:18" x14ac:dyDescent="0.2">
      <c r="C93" t="s">
        <v>18</v>
      </c>
      <c r="O93">
        <f>SUM(O82:O92)</f>
        <v>3</v>
      </c>
      <c r="P93">
        <f>SUM(P82:P92)</f>
        <v>1</v>
      </c>
      <c r="Q93">
        <f>SUM(Q82:Q92)</f>
        <v>10</v>
      </c>
      <c r="R93">
        <f>SUM(R82:R92)</f>
        <v>5</v>
      </c>
    </row>
    <row r="95" spans="3:18" x14ac:dyDescent="0.2">
      <c r="C95" t="s">
        <v>6</v>
      </c>
    </row>
    <row r="96" spans="3:18" x14ac:dyDescent="0.2">
      <c r="C96">
        <f>$C$21</f>
        <v>0</v>
      </c>
      <c r="D96">
        <f>$D$21</f>
        <v>18</v>
      </c>
      <c r="E96">
        <f>$E$21</f>
        <v>20</v>
      </c>
      <c r="F96">
        <f>$F$21</f>
        <v>24</v>
      </c>
      <c r="G96">
        <f>$G$21</f>
        <v>28</v>
      </c>
      <c r="N96">
        <f>$C$21</f>
        <v>0</v>
      </c>
      <c r="O96">
        <f>$D$21</f>
        <v>18</v>
      </c>
      <c r="P96">
        <f>$E$21</f>
        <v>20</v>
      </c>
      <c r="Q96">
        <f>$F$21</f>
        <v>24</v>
      </c>
      <c r="R96">
        <f>$G$21</f>
        <v>28</v>
      </c>
    </row>
    <row r="97" spans="3:18" x14ac:dyDescent="0.2">
      <c r="C97" s="175" t="s">
        <v>7</v>
      </c>
      <c r="D97" s="177">
        <f t="shared" ref="D97:G107" si="59">IF(AND($Y6&lt;=D$21,$Y6&gt;C$21),$Y6-C$21,0)</f>
        <v>17.5</v>
      </c>
      <c r="E97" s="177">
        <f t="shared" si="59"/>
        <v>0</v>
      </c>
      <c r="F97" s="177">
        <f t="shared" si="59"/>
        <v>0</v>
      </c>
      <c r="G97" s="177">
        <f t="shared" si="59"/>
        <v>0</v>
      </c>
      <c r="I97" s="177">
        <f t="shared" ref="I97:I107" si="60">IF(AND(D97&gt;0,D97&lt;1),D97*$Q6,0)</f>
        <v>0</v>
      </c>
      <c r="J97" s="177">
        <f t="shared" ref="J97:J107" si="61">IF(AND(E97&gt;0,E97&lt;1),E97*$Q6,0)</f>
        <v>0</v>
      </c>
      <c r="K97" s="177">
        <f t="shared" ref="K97:K107" si="62">IF(AND(F97&gt;0,F97&lt;1),F97*$Q6,0)</f>
        <v>0</v>
      </c>
      <c r="L97" s="177">
        <f t="shared" ref="L97:L107" si="63">IF(AND(G97&gt;0,G97&lt;1),G97*$Q6,0)</f>
        <v>0</v>
      </c>
      <c r="O97">
        <f t="shared" ref="O97:O107" si="64">IF(J97&gt;0,$Q6-J97,IF(I97&gt;0,I97,IF(AND($Y6&gt;N$66,$Y6&lt;=O$66),$Q6-I97,0)))</f>
        <v>2</v>
      </c>
      <c r="P97">
        <f t="shared" ref="P97:P107" si="65">IF(K97&gt;0,$Q6-K97,IF(J97&gt;0,J97,IF(AND($Y6&gt;O$66,$Y6&lt;=P$66),$Q6-J97,0)))</f>
        <v>0</v>
      </c>
      <c r="Q97">
        <f t="shared" ref="Q97:Q107" si="66">IF(L97&gt;0,$Q6-L97,IF(K97&gt;0,K97,IF(AND($Y6&gt;P$66,$Y6&lt;=Q$66),$Q6-K97,0)))</f>
        <v>0</v>
      </c>
      <c r="R97">
        <f t="shared" ref="R97:R107" si="67">IF(M97&gt;0,$Q6-M97,IF(L97&gt;0,L97,IF(AND($Y6&gt;Q$66,$Y6&lt;=R$66),$Q6-L97,0)))</f>
        <v>0</v>
      </c>
    </row>
    <row r="98" spans="3:18" x14ac:dyDescent="0.2">
      <c r="C98" s="175" t="s">
        <v>8</v>
      </c>
      <c r="D98" s="177">
        <f t="shared" si="59"/>
        <v>15.5</v>
      </c>
      <c r="E98" s="177">
        <f t="shared" si="59"/>
        <v>0</v>
      </c>
      <c r="F98" s="177">
        <f t="shared" si="59"/>
        <v>0</v>
      </c>
      <c r="G98" s="177">
        <f t="shared" si="59"/>
        <v>0</v>
      </c>
      <c r="I98" s="177">
        <f t="shared" si="60"/>
        <v>0</v>
      </c>
      <c r="J98" s="177">
        <f t="shared" si="61"/>
        <v>0</v>
      </c>
      <c r="K98" s="177">
        <f t="shared" si="62"/>
        <v>0</v>
      </c>
      <c r="L98" s="177">
        <f t="shared" si="63"/>
        <v>0</v>
      </c>
      <c r="O98">
        <f t="shared" si="64"/>
        <v>2</v>
      </c>
      <c r="P98">
        <f t="shared" si="65"/>
        <v>0</v>
      </c>
      <c r="Q98">
        <f t="shared" si="66"/>
        <v>0</v>
      </c>
      <c r="R98">
        <f t="shared" si="67"/>
        <v>0</v>
      </c>
    </row>
    <row r="99" spans="3:18" x14ac:dyDescent="0.2">
      <c r="C99" t="s">
        <v>9</v>
      </c>
      <c r="D99" s="177">
        <f t="shared" si="59"/>
        <v>17.5</v>
      </c>
      <c r="E99" s="177">
        <f t="shared" si="59"/>
        <v>0</v>
      </c>
      <c r="F99" s="177">
        <f t="shared" si="59"/>
        <v>0</v>
      </c>
      <c r="G99" s="177">
        <f t="shared" si="59"/>
        <v>0</v>
      </c>
      <c r="I99" s="177">
        <f t="shared" si="60"/>
        <v>0</v>
      </c>
      <c r="J99" s="177">
        <f t="shared" si="61"/>
        <v>0</v>
      </c>
      <c r="K99" s="177">
        <f t="shared" si="62"/>
        <v>0</v>
      </c>
      <c r="L99" s="177">
        <f t="shared" si="63"/>
        <v>0</v>
      </c>
      <c r="O99">
        <f t="shared" si="64"/>
        <v>2</v>
      </c>
      <c r="P99">
        <f t="shared" si="65"/>
        <v>0</v>
      </c>
      <c r="Q99">
        <f t="shared" si="66"/>
        <v>0</v>
      </c>
      <c r="R99">
        <f t="shared" si="67"/>
        <v>0</v>
      </c>
    </row>
    <row r="100" spans="3:18" x14ac:dyDescent="0.2">
      <c r="C100" t="s">
        <v>10</v>
      </c>
      <c r="D100" s="177">
        <f t="shared" si="59"/>
        <v>0</v>
      </c>
      <c r="E100" s="177">
        <f t="shared" si="59"/>
        <v>0</v>
      </c>
      <c r="F100" s="177">
        <f t="shared" si="59"/>
        <v>0</v>
      </c>
      <c r="G100" s="177">
        <f t="shared" si="59"/>
        <v>4</v>
      </c>
      <c r="I100" s="177">
        <f t="shared" si="60"/>
        <v>0</v>
      </c>
      <c r="J100" s="177">
        <f t="shared" si="61"/>
        <v>0</v>
      </c>
      <c r="K100" s="177">
        <f t="shared" si="62"/>
        <v>0</v>
      </c>
      <c r="L100" s="177">
        <f t="shared" si="63"/>
        <v>0</v>
      </c>
      <c r="O100">
        <f t="shared" si="64"/>
        <v>0</v>
      </c>
      <c r="P100">
        <f t="shared" si="65"/>
        <v>0</v>
      </c>
      <c r="Q100">
        <f t="shared" si="66"/>
        <v>0</v>
      </c>
      <c r="R100">
        <f t="shared" si="67"/>
        <v>1</v>
      </c>
    </row>
    <row r="101" spans="3:18" x14ac:dyDescent="0.2">
      <c r="C101" t="s">
        <v>11</v>
      </c>
      <c r="D101" s="177">
        <f t="shared" si="59"/>
        <v>18</v>
      </c>
      <c r="E101" s="177">
        <f t="shared" si="59"/>
        <v>0</v>
      </c>
      <c r="F101" s="177">
        <f t="shared" si="59"/>
        <v>0</v>
      </c>
      <c r="G101" s="177">
        <f t="shared" si="59"/>
        <v>0</v>
      </c>
      <c r="I101" s="177">
        <f t="shared" si="60"/>
        <v>0</v>
      </c>
      <c r="J101" s="177">
        <f t="shared" si="61"/>
        <v>0</v>
      </c>
      <c r="K101" s="177">
        <f t="shared" si="62"/>
        <v>0</v>
      </c>
      <c r="L101" s="177">
        <f t="shared" si="63"/>
        <v>0</v>
      </c>
      <c r="O101">
        <f t="shared" si="64"/>
        <v>2</v>
      </c>
      <c r="P101">
        <f t="shared" si="65"/>
        <v>0</v>
      </c>
      <c r="Q101">
        <f t="shared" si="66"/>
        <v>0</v>
      </c>
      <c r="R101">
        <f t="shared" si="67"/>
        <v>0</v>
      </c>
    </row>
    <row r="102" spans="3:18" x14ac:dyDescent="0.2">
      <c r="C102" t="s">
        <v>12</v>
      </c>
      <c r="D102" s="177">
        <f t="shared" si="59"/>
        <v>16.5</v>
      </c>
      <c r="E102" s="177">
        <f t="shared" si="59"/>
        <v>0</v>
      </c>
      <c r="F102" s="177">
        <f t="shared" si="59"/>
        <v>0</v>
      </c>
      <c r="G102" s="177">
        <f t="shared" si="59"/>
        <v>0</v>
      </c>
      <c r="I102" s="177">
        <f t="shared" si="60"/>
        <v>0</v>
      </c>
      <c r="J102" s="177">
        <f t="shared" si="61"/>
        <v>0</v>
      </c>
      <c r="K102" s="177">
        <f t="shared" si="62"/>
        <v>0</v>
      </c>
      <c r="L102" s="177">
        <f t="shared" si="63"/>
        <v>0</v>
      </c>
      <c r="O102">
        <f t="shared" si="64"/>
        <v>2</v>
      </c>
      <c r="P102">
        <f t="shared" si="65"/>
        <v>0</v>
      </c>
      <c r="Q102">
        <f t="shared" si="66"/>
        <v>0</v>
      </c>
      <c r="R102">
        <f t="shared" si="67"/>
        <v>0</v>
      </c>
    </row>
    <row r="103" spans="3:18" x14ac:dyDescent="0.2">
      <c r="C103" t="s">
        <v>13</v>
      </c>
      <c r="D103" s="177">
        <f t="shared" si="59"/>
        <v>0</v>
      </c>
      <c r="E103" s="177">
        <f t="shared" si="59"/>
        <v>0.5</v>
      </c>
      <c r="F103" s="177">
        <f t="shared" si="59"/>
        <v>0</v>
      </c>
      <c r="G103" s="177">
        <f t="shared" si="59"/>
        <v>0</v>
      </c>
      <c r="I103" s="177">
        <f t="shared" si="60"/>
        <v>0</v>
      </c>
      <c r="J103" s="177">
        <f t="shared" si="61"/>
        <v>1</v>
      </c>
      <c r="K103" s="177">
        <f t="shared" si="62"/>
        <v>0</v>
      </c>
      <c r="L103" s="177">
        <f t="shared" si="63"/>
        <v>0</v>
      </c>
      <c r="O103">
        <f t="shared" si="64"/>
        <v>1</v>
      </c>
      <c r="P103">
        <f t="shared" si="65"/>
        <v>1</v>
      </c>
      <c r="Q103">
        <f t="shared" si="66"/>
        <v>0</v>
      </c>
      <c r="R103">
        <f t="shared" si="67"/>
        <v>0</v>
      </c>
    </row>
    <row r="104" spans="3:18" x14ac:dyDescent="0.2">
      <c r="C104" t="s">
        <v>14</v>
      </c>
      <c r="D104" s="177">
        <f t="shared" si="59"/>
        <v>0</v>
      </c>
      <c r="E104" s="177">
        <f t="shared" si="59"/>
        <v>0</v>
      </c>
      <c r="F104" s="177">
        <f t="shared" si="59"/>
        <v>1</v>
      </c>
      <c r="G104" s="177">
        <f t="shared" si="59"/>
        <v>0</v>
      </c>
      <c r="I104" s="177">
        <f t="shared" si="60"/>
        <v>0</v>
      </c>
      <c r="J104" s="177">
        <f t="shared" si="61"/>
        <v>0</v>
      </c>
      <c r="K104" s="177">
        <f t="shared" si="62"/>
        <v>0</v>
      </c>
      <c r="L104" s="177">
        <f t="shared" si="63"/>
        <v>0</v>
      </c>
      <c r="O104">
        <f t="shared" si="64"/>
        <v>0</v>
      </c>
      <c r="P104">
        <f t="shared" si="65"/>
        <v>0</v>
      </c>
      <c r="Q104">
        <f t="shared" si="66"/>
        <v>2</v>
      </c>
      <c r="R104">
        <f t="shared" si="67"/>
        <v>0</v>
      </c>
    </row>
    <row r="105" spans="3:18" x14ac:dyDescent="0.2">
      <c r="C105" t="s">
        <v>15</v>
      </c>
      <c r="D105" s="177">
        <f t="shared" si="59"/>
        <v>0</v>
      </c>
      <c r="E105" s="177">
        <f t="shared" si="59"/>
        <v>0</v>
      </c>
      <c r="F105" s="177">
        <f t="shared" si="59"/>
        <v>0</v>
      </c>
      <c r="G105" s="177">
        <f t="shared" si="59"/>
        <v>2</v>
      </c>
      <c r="I105" s="177">
        <f t="shared" si="60"/>
        <v>0</v>
      </c>
      <c r="J105" s="177">
        <f t="shared" si="61"/>
        <v>0</v>
      </c>
      <c r="K105" s="177">
        <f t="shared" si="62"/>
        <v>0</v>
      </c>
      <c r="L105" s="177">
        <f t="shared" si="63"/>
        <v>0</v>
      </c>
      <c r="O105">
        <f t="shared" si="64"/>
        <v>0</v>
      </c>
      <c r="P105">
        <f t="shared" si="65"/>
        <v>0</v>
      </c>
      <c r="Q105">
        <f t="shared" si="66"/>
        <v>0</v>
      </c>
      <c r="R105">
        <f t="shared" si="67"/>
        <v>1</v>
      </c>
    </row>
    <row r="106" spans="3:18" x14ac:dyDescent="0.2">
      <c r="C106" t="s">
        <v>16</v>
      </c>
      <c r="D106" s="177">
        <f t="shared" si="59"/>
        <v>16.5</v>
      </c>
      <c r="E106" s="177">
        <f t="shared" si="59"/>
        <v>0</v>
      </c>
      <c r="F106" s="177">
        <f t="shared" si="59"/>
        <v>0</v>
      </c>
      <c r="G106" s="177">
        <f t="shared" si="59"/>
        <v>0</v>
      </c>
      <c r="I106" s="177">
        <f t="shared" si="60"/>
        <v>0</v>
      </c>
      <c r="J106" s="177">
        <f t="shared" si="61"/>
        <v>0</v>
      </c>
      <c r="K106" s="177">
        <f t="shared" si="62"/>
        <v>0</v>
      </c>
      <c r="L106" s="177">
        <f t="shared" si="63"/>
        <v>0</v>
      </c>
      <c r="O106">
        <f t="shared" si="64"/>
        <v>2</v>
      </c>
      <c r="P106">
        <f t="shared" si="65"/>
        <v>0</v>
      </c>
      <c r="Q106">
        <f t="shared" si="66"/>
        <v>0</v>
      </c>
      <c r="R106">
        <f t="shared" si="67"/>
        <v>0</v>
      </c>
    </row>
    <row r="107" spans="3:18" x14ac:dyDescent="0.2">
      <c r="C107" t="s">
        <v>17</v>
      </c>
      <c r="D107" s="177">
        <f t="shared" si="59"/>
        <v>0</v>
      </c>
      <c r="E107" s="177">
        <f t="shared" si="59"/>
        <v>0</v>
      </c>
      <c r="F107" s="177">
        <f t="shared" si="59"/>
        <v>0</v>
      </c>
      <c r="G107" s="177">
        <f t="shared" si="59"/>
        <v>0</v>
      </c>
      <c r="I107" s="177">
        <f t="shared" si="60"/>
        <v>0</v>
      </c>
      <c r="J107" s="177">
        <f t="shared" si="61"/>
        <v>0</v>
      </c>
      <c r="K107" s="177">
        <f t="shared" si="62"/>
        <v>0</v>
      </c>
      <c r="L107" s="177">
        <f t="shared" si="63"/>
        <v>0</v>
      </c>
      <c r="O107">
        <f t="shared" si="64"/>
        <v>0</v>
      </c>
      <c r="P107">
        <f t="shared" si="65"/>
        <v>0</v>
      </c>
      <c r="Q107">
        <f t="shared" si="66"/>
        <v>0</v>
      </c>
      <c r="R107">
        <f t="shared" si="67"/>
        <v>0</v>
      </c>
    </row>
    <row r="108" spans="3:18" x14ac:dyDescent="0.2">
      <c r="C108" t="s">
        <v>18</v>
      </c>
      <c r="O108">
        <f>SUM(O97:O107)</f>
        <v>13</v>
      </c>
      <c r="P108">
        <f>SUM(P97:P107)</f>
        <v>1</v>
      </c>
      <c r="Q108">
        <f>SUM(Q97:Q107)</f>
        <v>2</v>
      </c>
      <c r="R108">
        <f>SUM(R97:R107)</f>
        <v>2</v>
      </c>
    </row>
  </sheetData>
  <sheetProtection sheet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38"/>
  <sheetViews>
    <sheetView workbookViewId="0">
      <selection activeCell="F14" sqref="F14"/>
    </sheetView>
  </sheetViews>
  <sheetFormatPr defaultRowHeight="12.75" x14ac:dyDescent="0.2"/>
  <cols>
    <col min="9" max="9" width="9.7109375" bestFit="1" customWidth="1"/>
  </cols>
  <sheetData>
    <row r="3" spans="1:11" ht="20.25" x14ac:dyDescent="0.3">
      <c r="D3" s="371" t="s">
        <v>68</v>
      </c>
      <c r="E3" s="371"/>
      <c r="F3" s="371"/>
      <c r="G3" s="371"/>
      <c r="H3" s="371"/>
    </row>
    <row r="9" spans="1:11" x14ac:dyDescent="0.2">
      <c r="C9" s="249"/>
      <c r="D9" s="249"/>
      <c r="E9" s="249"/>
      <c r="F9" s="249"/>
      <c r="G9" s="249"/>
      <c r="H9" s="249"/>
      <c r="I9" s="249"/>
    </row>
    <row r="10" spans="1:11" ht="26.25" x14ac:dyDescent="0.4">
      <c r="C10" s="249"/>
      <c r="D10" s="249"/>
      <c r="E10" s="249"/>
      <c r="F10" s="250" t="s">
        <v>233</v>
      </c>
      <c r="G10" s="249"/>
      <c r="H10" s="249"/>
      <c r="I10" s="249"/>
    </row>
    <row r="13" spans="1:11" ht="20.25" x14ac:dyDescent="0.3">
      <c r="A13" s="249"/>
      <c r="B13" s="249"/>
      <c r="C13" s="249"/>
      <c r="D13" s="249"/>
      <c r="E13" s="249"/>
      <c r="F13" s="251" t="s">
        <v>372</v>
      </c>
      <c r="G13" s="249"/>
      <c r="H13" s="249"/>
      <c r="I13" s="249"/>
      <c r="J13" s="249"/>
      <c r="K13" s="249"/>
    </row>
    <row r="14" spans="1:11" ht="20.25" x14ac:dyDescent="0.3">
      <c r="C14" s="29"/>
      <c r="D14" s="29"/>
      <c r="E14" s="29"/>
      <c r="F14" s="50"/>
      <c r="G14" s="29"/>
      <c r="H14" s="29"/>
      <c r="I14" s="29"/>
    </row>
    <row r="17" spans="2:13" ht="20.25" x14ac:dyDescent="0.3">
      <c r="C17" s="29"/>
      <c r="D17" s="29"/>
      <c r="E17" s="170"/>
      <c r="F17" s="50"/>
      <c r="G17" s="29"/>
      <c r="H17" s="29"/>
      <c r="I17" s="29"/>
    </row>
    <row r="18" spans="2:13" ht="20.25" x14ac:dyDescent="0.3">
      <c r="C18" s="29"/>
      <c r="D18" s="29"/>
      <c r="E18" s="29"/>
      <c r="F18" s="50"/>
      <c r="G18" s="29"/>
      <c r="H18" s="29"/>
      <c r="I18" s="29"/>
    </row>
    <row r="19" spans="2:13" ht="20.25" x14ac:dyDescent="0.3">
      <c r="C19" s="29"/>
      <c r="D19" s="29"/>
      <c r="E19" s="29"/>
      <c r="F19" s="50"/>
      <c r="G19" s="29"/>
      <c r="H19" s="29"/>
      <c r="I19" s="29"/>
    </row>
    <row r="20" spans="2:13" x14ac:dyDescent="0.2">
      <c r="C20" s="29"/>
      <c r="D20" s="29"/>
      <c r="E20" s="29"/>
      <c r="F20" s="29"/>
      <c r="G20" s="29"/>
      <c r="H20" s="29"/>
      <c r="I20" s="29"/>
    </row>
    <row r="21" spans="2:13" x14ac:dyDescent="0.2">
      <c r="C21" s="29"/>
      <c r="D21" s="29"/>
      <c r="E21" s="29"/>
      <c r="F21" s="29"/>
      <c r="G21" s="29"/>
      <c r="H21" s="29"/>
      <c r="I21" s="29"/>
    </row>
    <row r="22" spans="2:13" ht="20.25" x14ac:dyDescent="0.3">
      <c r="C22" s="29"/>
      <c r="D22" s="29"/>
      <c r="E22" s="29"/>
      <c r="F22" s="50"/>
      <c r="G22" s="29"/>
      <c r="H22" s="29"/>
      <c r="I22" s="29"/>
    </row>
    <row r="23" spans="2:13" ht="20.25" x14ac:dyDescent="0.3">
      <c r="C23" s="29"/>
      <c r="D23" s="29"/>
      <c r="E23" s="29"/>
      <c r="F23" s="50"/>
      <c r="G23" s="29"/>
      <c r="H23" s="29"/>
      <c r="I23" s="29"/>
    </row>
    <row r="24" spans="2:13" x14ac:dyDescent="0.2">
      <c r="D24" s="29"/>
      <c r="E24" s="29"/>
      <c r="F24" s="29"/>
      <c r="G24" s="29"/>
      <c r="H24" s="29"/>
    </row>
    <row r="25" spans="2:13" x14ac:dyDescent="0.2">
      <c r="D25" s="29"/>
      <c r="E25" s="29"/>
      <c r="F25" s="53"/>
      <c r="G25" s="29"/>
      <c r="H25" s="29"/>
    </row>
    <row r="26" spans="2:13" x14ac:dyDescent="0.2">
      <c r="D26" s="29"/>
      <c r="E26" s="29"/>
      <c r="F26" s="29"/>
      <c r="G26" s="29"/>
      <c r="H26" s="29"/>
    </row>
    <row r="27" spans="2:13" ht="20.25" x14ac:dyDescent="0.3">
      <c r="B27" s="4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2:13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9"/>
    </row>
    <row r="29" spans="2:13" x14ac:dyDescent="0.2">
      <c r="B29" s="20"/>
      <c r="C29" s="40"/>
      <c r="D29" s="40"/>
      <c r="E29" s="20"/>
      <c r="F29" s="20"/>
      <c r="G29" s="20"/>
      <c r="H29" s="20"/>
      <c r="I29" s="20"/>
      <c r="J29" s="20"/>
      <c r="K29" s="20"/>
      <c r="L29" s="20"/>
      <c r="M29" s="29"/>
    </row>
    <row r="30" spans="2:13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9"/>
    </row>
    <row r="31" spans="2:13" x14ac:dyDescent="0.2">
      <c r="B31" s="40"/>
      <c r="C31" s="20"/>
      <c r="D31" s="47"/>
      <c r="E31" s="47"/>
      <c r="F31" s="47"/>
      <c r="G31" s="47"/>
      <c r="H31" s="47"/>
      <c r="I31" s="48"/>
      <c r="J31" s="40"/>
      <c r="K31" s="20"/>
      <c r="L31" s="40"/>
      <c r="M31" s="29"/>
    </row>
    <row r="32" spans="2:13" x14ac:dyDescent="0.2">
      <c r="B32" s="40"/>
      <c r="C32" s="20"/>
      <c r="D32" s="20"/>
      <c r="E32" s="20"/>
      <c r="F32" s="20"/>
      <c r="G32" s="20"/>
      <c r="H32" s="20"/>
      <c r="I32" s="48"/>
      <c r="J32" s="40"/>
      <c r="K32" s="20"/>
      <c r="L32" s="20"/>
      <c r="M32" s="29"/>
    </row>
    <row r="33" spans="2:13" x14ac:dyDescent="0.2">
      <c r="B33" s="40"/>
      <c r="C33" s="20"/>
      <c r="D33" s="20"/>
      <c r="E33" s="20"/>
      <c r="F33" s="20"/>
      <c r="G33" s="20"/>
      <c r="H33" s="20"/>
      <c r="I33" s="48"/>
      <c r="J33" s="40"/>
      <c r="K33" s="20"/>
      <c r="L33" s="20"/>
      <c r="M33" s="29"/>
    </row>
    <row r="34" spans="2:13" x14ac:dyDescent="0.2">
      <c r="B34" s="29"/>
      <c r="C34" s="29"/>
      <c r="D34" s="29"/>
      <c r="E34" s="29"/>
      <c r="F34" s="29"/>
      <c r="G34" s="29"/>
      <c r="H34" s="29"/>
      <c r="I34" s="29"/>
      <c r="J34" s="49"/>
      <c r="K34" s="49"/>
      <c r="L34" s="29"/>
      <c r="M34" s="29"/>
    </row>
    <row r="35" spans="2:13" x14ac:dyDescent="0.2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2:13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2:13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2:13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</sheetData>
  <mergeCells count="1">
    <mergeCell ref="D3:H3"/>
  </mergeCells>
  <phoneticPr fontId="2" type="noConversion"/>
  <pageMargins left="0" right="0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43"/>
  <sheetViews>
    <sheetView zoomScaleNormal="100" workbookViewId="0">
      <selection activeCell="H8" sqref="H8"/>
    </sheetView>
  </sheetViews>
  <sheetFormatPr defaultColWidth="9.140625" defaultRowHeight="12.75" x14ac:dyDescent="0.2"/>
  <cols>
    <col min="1" max="9" width="7.5703125" style="71" customWidth="1"/>
    <col min="10" max="20" width="7.28515625" style="71" customWidth="1"/>
    <col min="21" max="16384" width="9.140625" style="71"/>
  </cols>
  <sheetData>
    <row r="1" spans="1:20" ht="18" x14ac:dyDescent="0.25">
      <c r="A1" s="372" t="s">
        <v>355</v>
      </c>
      <c r="B1" s="372"/>
      <c r="C1" s="372"/>
      <c r="D1" s="372"/>
      <c r="E1" s="372"/>
      <c r="F1" s="372"/>
      <c r="G1" s="372"/>
      <c r="H1" s="372"/>
      <c r="I1" s="372"/>
      <c r="J1" s="372" t="s">
        <v>355</v>
      </c>
      <c r="K1" s="372"/>
      <c r="L1" s="372"/>
      <c r="M1" s="372"/>
      <c r="N1" s="372"/>
      <c r="O1" s="372"/>
      <c r="P1" s="372"/>
      <c r="Q1" s="372"/>
      <c r="R1" s="85"/>
      <c r="S1" s="91" t="s">
        <v>356</v>
      </c>
      <c r="T1" s="85"/>
    </row>
    <row r="2" spans="1:20" ht="15.75" x14ac:dyDescent="0.25">
      <c r="A2" s="373" t="s">
        <v>63</v>
      </c>
      <c r="B2" s="373"/>
      <c r="C2" s="373"/>
      <c r="D2" s="373"/>
      <c r="E2" s="373"/>
      <c r="F2" s="373"/>
      <c r="G2" s="373"/>
      <c r="H2" s="373"/>
      <c r="I2" s="373"/>
      <c r="J2" s="373" t="s">
        <v>176</v>
      </c>
      <c r="K2" s="373"/>
      <c r="L2" s="373"/>
      <c r="M2" s="373"/>
      <c r="N2" s="373"/>
      <c r="O2" s="373"/>
      <c r="P2" s="373"/>
      <c r="Q2" s="373"/>
      <c r="R2" s="86"/>
      <c r="S2" s="87" t="s">
        <v>261</v>
      </c>
      <c r="T2" s="87"/>
    </row>
    <row r="3" spans="1:20" s="36" customFormat="1" x14ac:dyDescent="0.2">
      <c r="B3" s="374" t="s">
        <v>20</v>
      </c>
      <c r="C3" s="374"/>
      <c r="D3" s="374"/>
      <c r="E3" s="374"/>
      <c r="F3" s="374"/>
      <c r="G3" s="374"/>
      <c r="H3" s="374"/>
      <c r="I3" s="374"/>
      <c r="J3" s="374" t="s">
        <v>20</v>
      </c>
      <c r="K3" s="374"/>
      <c r="L3" s="374"/>
      <c r="M3" s="374"/>
      <c r="N3" s="374"/>
      <c r="O3" s="374"/>
      <c r="P3" s="374"/>
      <c r="Q3" s="374"/>
      <c r="R3" s="88"/>
      <c r="S3" s="88"/>
    </row>
    <row r="4" spans="1:20" s="89" customFormat="1" x14ac:dyDescent="0.2">
      <c r="C4" s="89" t="s">
        <v>2</v>
      </c>
      <c r="D4" s="89" t="s">
        <v>3</v>
      </c>
      <c r="E4" s="89" t="s">
        <v>4</v>
      </c>
      <c r="F4" s="89" t="s">
        <v>5</v>
      </c>
      <c r="G4" s="89" t="s">
        <v>1</v>
      </c>
      <c r="H4" s="89" t="s">
        <v>6</v>
      </c>
      <c r="I4" s="89" t="s">
        <v>18</v>
      </c>
      <c r="K4" s="89" t="s">
        <v>2</v>
      </c>
      <c r="L4" s="89" t="s">
        <v>3</v>
      </c>
      <c r="M4" s="89" t="s">
        <v>4</v>
      </c>
      <c r="N4" s="89" t="s">
        <v>5</v>
      </c>
      <c r="O4" s="89" t="s">
        <v>1</v>
      </c>
      <c r="P4" s="89" t="s">
        <v>6</v>
      </c>
      <c r="Q4" s="89" t="s">
        <v>18</v>
      </c>
    </row>
    <row r="5" spans="1:20" x14ac:dyDescent="0.2">
      <c r="A5" s="71" t="s">
        <v>7</v>
      </c>
      <c r="C5" s="365">
        <v>78</v>
      </c>
      <c r="D5" s="182">
        <v>55</v>
      </c>
      <c r="E5" s="182">
        <v>35</v>
      </c>
      <c r="F5" s="182">
        <v>22</v>
      </c>
      <c r="G5" s="182">
        <v>54</v>
      </c>
      <c r="H5" s="182">
        <v>35</v>
      </c>
      <c r="I5" s="71">
        <f t="shared" ref="I5:I16" si="0">SUM(C5:H5)</f>
        <v>279</v>
      </c>
      <c r="J5" s="71" t="s">
        <v>7</v>
      </c>
      <c r="K5" s="255">
        <f t="shared" ref="K5:P5" si="1">CEILING(C5/28,1)</f>
        <v>3</v>
      </c>
      <c r="L5" s="255">
        <f t="shared" si="1"/>
        <v>2</v>
      </c>
      <c r="M5" s="255">
        <f t="shared" si="1"/>
        <v>2</v>
      </c>
      <c r="N5" s="255">
        <f t="shared" si="1"/>
        <v>1</v>
      </c>
      <c r="O5" s="255">
        <f t="shared" si="1"/>
        <v>2</v>
      </c>
      <c r="P5" s="255">
        <f t="shared" si="1"/>
        <v>2</v>
      </c>
      <c r="Q5" s="71">
        <f t="shared" ref="Q5:Q16" si="2">SUM(K5:P5)</f>
        <v>12</v>
      </c>
      <c r="S5" s="71">
        <v>11</v>
      </c>
    </row>
    <row r="6" spans="1:20" x14ac:dyDescent="0.2">
      <c r="A6" s="71" t="s">
        <v>8</v>
      </c>
      <c r="C6" s="365">
        <v>63</v>
      </c>
      <c r="D6" s="182">
        <v>35</v>
      </c>
      <c r="E6" s="182">
        <v>25</v>
      </c>
      <c r="F6" s="182">
        <v>9</v>
      </c>
      <c r="G6" s="182">
        <v>28</v>
      </c>
      <c r="H6" s="182">
        <v>31</v>
      </c>
      <c r="I6" s="71">
        <f t="shared" si="0"/>
        <v>191</v>
      </c>
      <c r="J6" s="71" t="s">
        <v>8</v>
      </c>
      <c r="K6" s="255">
        <f t="shared" ref="K6:K15" si="3">CEILING(C6/28,1)</f>
        <v>3</v>
      </c>
      <c r="L6" s="255">
        <f t="shared" ref="L6:L15" si="4">CEILING(D6/28,1)</f>
        <v>2</v>
      </c>
      <c r="M6" s="255">
        <f t="shared" ref="M6:M15" si="5">CEILING(E6/28,1)</f>
        <v>1</v>
      </c>
      <c r="N6" s="255">
        <f t="shared" ref="N6:N15" si="6">CEILING(F6/28,1)</f>
        <v>1</v>
      </c>
      <c r="O6" s="255">
        <f t="shared" ref="O6:O15" si="7">CEILING(G6/28,1)</f>
        <v>1</v>
      </c>
      <c r="P6" s="255">
        <f t="shared" ref="P6:P15" si="8">CEILING(H6/28,1)</f>
        <v>2</v>
      </c>
      <c r="Q6" s="71">
        <f t="shared" si="2"/>
        <v>10</v>
      </c>
      <c r="S6" s="71">
        <v>11</v>
      </c>
    </row>
    <row r="7" spans="1:20" x14ac:dyDescent="0.2">
      <c r="A7" s="71" t="s">
        <v>9</v>
      </c>
      <c r="C7" s="365">
        <v>63</v>
      </c>
      <c r="D7" s="182">
        <v>48</v>
      </c>
      <c r="E7" s="182">
        <v>24</v>
      </c>
      <c r="F7" s="182">
        <v>17</v>
      </c>
      <c r="G7" s="182">
        <v>44</v>
      </c>
      <c r="H7" s="182">
        <v>35</v>
      </c>
      <c r="I7" s="71">
        <f t="shared" si="0"/>
        <v>231</v>
      </c>
      <c r="J7" s="71" t="s">
        <v>9</v>
      </c>
      <c r="K7" s="255">
        <f t="shared" si="3"/>
        <v>3</v>
      </c>
      <c r="L7" s="255">
        <f t="shared" si="4"/>
        <v>2</v>
      </c>
      <c r="M7" s="255">
        <f t="shared" si="5"/>
        <v>1</v>
      </c>
      <c r="N7" s="255">
        <f t="shared" si="6"/>
        <v>1</v>
      </c>
      <c r="O7" s="255">
        <f t="shared" si="7"/>
        <v>2</v>
      </c>
      <c r="P7" s="255">
        <f t="shared" si="8"/>
        <v>2</v>
      </c>
      <c r="Q7" s="71">
        <f t="shared" si="2"/>
        <v>11</v>
      </c>
      <c r="S7" s="71">
        <v>10</v>
      </c>
    </row>
    <row r="8" spans="1:20" x14ac:dyDescent="0.2">
      <c r="A8" s="71" t="s">
        <v>10</v>
      </c>
      <c r="C8" s="365">
        <v>49</v>
      </c>
      <c r="D8" s="182">
        <v>45</v>
      </c>
      <c r="E8" s="182">
        <v>28</v>
      </c>
      <c r="F8" s="182">
        <v>14</v>
      </c>
      <c r="G8" s="182">
        <v>43</v>
      </c>
      <c r="H8" s="182">
        <v>28</v>
      </c>
      <c r="I8" s="71">
        <f t="shared" si="0"/>
        <v>207</v>
      </c>
      <c r="J8" s="71" t="s">
        <v>10</v>
      </c>
      <c r="K8" s="255">
        <f t="shared" si="3"/>
        <v>2</v>
      </c>
      <c r="L8" s="255">
        <f t="shared" si="4"/>
        <v>2</v>
      </c>
      <c r="M8" s="255">
        <f t="shared" si="5"/>
        <v>1</v>
      </c>
      <c r="N8" s="255">
        <f t="shared" si="6"/>
        <v>1</v>
      </c>
      <c r="O8" s="255">
        <f t="shared" si="7"/>
        <v>2</v>
      </c>
      <c r="P8" s="255">
        <f t="shared" si="8"/>
        <v>1</v>
      </c>
      <c r="Q8" s="71">
        <f t="shared" si="2"/>
        <v>9</v>
      </c>
      <c r="S8" s="71">
        <v>12</v>
      </c>
    </row>
    <row r="9" spans="1:20" x14ac:dyDescent="0.2">
      <c r="A9" s="71" t="s">
        <v>11</v>
      </c>
      <c r="C9" s="365">
        <v>68</v>
      </c>
      <c r="D9" s="182">
        <v>38</v>
      </c>
      <c r="E9" s="182">
        <v>32</v>
      </c>
      <c r="F9" s="182">
        <v>22</v>
      </c>
      <c r="G9" s="182">
        <v>37</v>
      </c>
      <c r="H9" s="182">
        <v>36</v>
      </c>
      <c r="I9" s="71">
        <f t="shared" si="0"/>
        <v>233</v>
      </c>
      <c r="J9" s="71" t="s">
        <v>11</v>
      </c>
      <c r="K9" s="255">
        <f t="shared" si="3"/>
        <v>3</v>
      </c>
      <c r="L9" s="255">
        <f t="shared" si="4"/>
        <v>2</v>
      </c>
      <c r="M9" s="255">
        <f t="shared" si="5"/>
        <v>2</v>
      </c>
      <c r="N9" s="255">
        <f t="shared" si="6"/>
        <v>1</v>
      </c>
      <c r="O9" s="255">
        <f t="shared" si="7"/>
        <v>2</v>
      </c>
      <c r="P9" s="255">
        <f t="shared" si="8"/>
        <v>2</v>
      </c>
      <c r="Q9" s="71">
        <f t="shared" si="2"/>
        <v>12</v>
      </c>
      <c r="S9" s="71">
        <v>13</v>
      </c>
    </row>
    <row r="10" spans="1:20" x14ac:dyDescent="0.2">
      <c r="A10" s="71" t="s">
        <v>12</v>
      </c>
      <c r="C10" s="365">
        <v>68</v>
      </c>
      <c r="D10" s="182">
        <v>67</v>
      </c>
      <c r="E10" s="182">
        <v>42</v>
      </c>
      <c r="F10" s="182">
        <v>23</v>
      </c>
      <c r="G10" s="182">
        <v>30</v>
      </c>
      <c r="H10" s="182">
        <v>33</v>
      </c>
      <c r="I10" s="71">
        <f t="shared" si="0"/>
        <v>263</v>
      </c>
      <c r="J10" s="71" t="s">
        <v>12</v>
      </c>
      <c r="K10" s="255">
        <f t="shared" si="3"/>
        <v>3</v>
      </c>
      <c r="L10" s="255">
        <f t="shared" si="4"/>
        <v>3</v>
      </c>
      <c r="M10" s="255">
        <f t="shared" si="5"/>
        <v>2</v>
      </c>
      <c r="N10" s="255">
        <f t="shared" si="6"/>
        <v>1</v>
      </c>
      <c r="O10" s="255">
        <f t="shared" si="7"/>
        <v>2</v>
      </c>
      <c r="P10" s="255">
        <f t="shared" si="8"/>
        <v>2</v>
      </c>
      <c r="Q10" s="71">
        <f t="shared" si="2"/>
        <v>13</v>
      </c>
      <c r="S10" s="71">
        <v>11</v>
      </c>
    </row>
    <row r="11" spans="1:20" x14ac:dyDescent="0.2">
      <c r="A11" s="71" t="s">
        <v>13</v>
      </c>
      <c r="C11" s="365">
        <v>75</v>
      </c>
      <c r="D11" s="182">
        <v>49</v>
      </c>
      <c r="E11" s="182">
        <v>23</v>
      </c>
      <c r="F11" s="182">
        <v>18</v>
      </c>
      <c r="G11" s="182">
        <v>48</v>
      </c>
      <c r="H11" s="182">
        <v>37</v>
      </c>
      <c r="I11" s="71">
        <f t="shared" si="0"/>
        <v>250</v>
      </c>
      <c r="J11" s="71" t="s">
        <v>13</v>
      </c>
      <c r="K11" s="255">
        <f t="shared" si="3"/>
        <v>3</v>
      </c>
      <c r="L11" s="255">
        <f t="shared" si="4"/>
        <v>2</v>
      </c>
      <c r="M11" s="255">
        <f t="shared" si="5"/>
        <v>1</v>
      </c>
      <c r="N11" s="255">
        <f t="shared" si="6"/>
        <v>1</v>
      </c>
      <c r="O11" s="255">
        <f t="shared" si="7"/>
        <v>2</v>
      </c>
      <c r="P11" s="255">
        <f t="shared" si="8"/>
        <v>2</v>
      </c>
      <c r="Q11" s="71">
        <f t="shared" si="2"/>
        <v>11</v>
      </c>
      <c r="S11" s="71">
        <v>12</v>
      </c>
    </row>
    <row r="12" spans="1:20" x14ac:dyDescent="0.2">
      <c r="A12" s="71" t="s">
        <v>14</v>
      </c>
      <c r="C12" s="365">
        <v>73</v>
      </c>
      <c r="D12" s="182">
        <v>44</v>
      </c>
      <c r="E12" s="182">
        <v>41</v>
      </c>
      <c r="F12" s="182">
        <v>16</v>
      </c>
      <c r="G12" s="182">
        <v>46</v>
      </c>
      <c r="H12" s="182">
        <v>42</v>
      </c>
      <c r="I12" s="71">
        <f t="shared" si="0"/>
        <v>262</v>
      </c>
      <c r="J12" s="71" t="s">
        <v>14</v>
      </c>
      <c r="K12" s="255">
        <f t="shared" si="3"/>
        <v>3</v>
      </c>
      <c r="L12" s="255">
        <f t="shared" si="4"/>
        <v>2</v>
      </c>
      <c r="M12" s="255">
        <f t="shared" si="5"/>
        <v>2</v>
      </c>
      <c r="N12" s="255">
        <f t="shared" si="6"/>
        <v>1</v>
      </c>
      <c r="O12" s="255">
        <f t="shared" si="7"/>
        <v>2</v>
      </c>
      <c r="P12" s="255">
        <f t="shared" si="8"/>
        <v>2</v>
      </c>
      <c r="Q12" s="71">
        <f t="shared" si="2"/>
        <v>12</v>
      </c>
      <c r="S12" s="71">
        <v>12</v>
      </c>
    </row>
    <row r="13" spans="1:20" x14ac:dyDescent="0.2">
      <c r="A13" s="71" t="s">
        <v>15</v>
      </c>
      <c r="C13" s="365">
        <v>71</v>
      </c>
      <c r="D13" s="182">
        <v>56</v>
      </c>
      <c r="E13" s="182">
        <v>50</v>
      </c>
      <c r="F13" s="182">
        <v>25</v>
      </c>
      <c r="G13" s="182">
        <v>52</v>
      </c>
      <c r="H13" s="182">
        <v>26</v>
      </c>
      <c r="I13" s="71">
        <f t="shared" si="0"/>
        <v>280</v>
      </c>
      <c r="J13" s="71" t="s">
        <v>15</v>
      </c>
      <c r="K13" s="255">
        <f t="shared" si="3"/>
        <v>3</v>
      </c>
      <c r="L13" s="255">
        <f t="shared" si="4"/>
        <v>2</v>
      </c>
      <c r="M13" s="255">
        <f t="shared" si="5"/>
        <v>2</v>
      </c>
      <c r="N13" s="255">
        <f t="shared" si="6"/>
        <v>1</v>
      </c>
      <c r="O13" s="255">
        <f t="shared" si="7"/>
        <v>2</v>
      </c>
      <c r="P13" s="255">
        <f t="shared" si="8"/>
        <v>1</v>
      </c>
      <c r="Q13" s="71">
        <f t="shared" si="2"/>
        <v>11</v>
      </c>
      <c r="S13" s="71">
        <v>13</v>
      </c>
    </row>
    <row r="14" spans="1:20" x14ac:dyDescent="0.2">
      <c r="A14" s="71" t="s">
        <v>16</v>
      </c>
      <c r="C14" s="365">
        <v>79</v>
      </c>
      <c r="D14" s="182">
        <v>52</v>
      </c>
      <c r="E14" s="182">
        <v>63</v>
      </c>
      <c r="F14" s="182">
        <v>13</v>
      </c>
      <c r="G14" s="182">
        <v>46</v>
      </c>
      <c r="H14" s="182">
        <v>33</v>
      </c>
      <c r="I14" s="71">
        <f t="shared" si="0"/>
        <v>286</v>
      </c>
      <c r="J14" s="71" t="s">
        <v>16</v>
      </c>
      <c r="K14" s="255">
        <f t="shared" si="3"/>
        <v>3</v>
      </c>
      <c r="L14" s="255">
        <f t="shared" si="4"/>
        <v>2</v>
      </c>
      <c r="M14" s="255">
        <f t="shared" si="5"/>
        <v>3</v>
      </c>
      <c r="N14" s="255">
        <f t="shared" si="6"/>
        <v>1</v>
      </c>
      <c r="O14" s="255">
        <f t="shared" si="7"/>
        <v>2</v>
      </c>
      <c r="P14" s="255">
        <f t="shared" si="8"/>
        <v>2</v>
      </c>
      <c r="Q14" s="71">
        <f t="shared" si="2"/>
        <v>13</v>
      </c>
      <c r="S14" s="71">
        <v>12</v>
      </c>
    </row>
    <row r="15" spans="1:20" x14ac:dyDescent="0.2">
      <c r="A15" s="71" t="s">
        <v>17</v>
      </c>
      <c r="C15" s="162"/>
      <c r="D15" s="162"/>
      <c r="E15" s="162"/>
      <c r="F15" s="162"/>
      <c r="G15" s="162"/>
      <c r="H15" s="162"/>
      <c r="I15" s="71">
        <f t="shared" si="0"/>
        <v>0</v>
      </c>
      <c r="J15" s="71" t="s">
        <v>17</v>
      </c>
      <c r="K15" s="255">
        <f t="shared" si="3"/>
        <v>0</v>
      </c>
      <c r="L15" s="255">
        <f t="shared" si="4"/>
        <v>0</v>
      </c>
      <c r="M15" s="255">
        <f t="shared" si="5"/>
        <v>0</v>
      </c>
      <c r="N15" s="255">
        <f t="shared" si="6"/>
        <v>0</v>
      </c>
      <c r="O15" s="255">
        <f t="shared" si="7"/>
        <v>0</v>
      </c>
      <c r="P15" s="255">
        <f t="shared" si="8"/>
        <v>0</v>
      </c>
      <c r="Q15" s="71">
        <f t="shared" si="2"/>
        <v>0</v>
      </c>
      <c r="S15" s="71">
        <v>0</v>
      </c>
    </row>
    <row r="16" spans="1:20" s="36" customFormat="1" x14ac:dyDescent="0.2">
      <c r="A16" s="36" t="s">
        <v>18</v>
      </c>
      <c r="C16" s="171">
        <f t="shared" ref="C16:H16" si="9">SUM(C5:C15)</f>
        <v>687</v>
      </c>
      <c r="D16" s="171">
        <f t="shared" si="9"/>
        <v>489</v>
      </c>
      <c r="E16" s="171">
        <f t="shared" si="9"/>
        <v>363</v>
      </c>
      <c r="F16" s="171">
        <f t="shared" si="9"/>
        <v>179</v>
      </c>
      <c r="G16" s="171">
        <f>SUM(G5:G15)</f>
        <v>428</v>
      </c>
      <c r="H16" s="171">
        <f t="shared" si="9"/>
        <v>336</v>
      </c>
      <c r="I16" s="36">
        <f t="shared" si="0"/>
        <v>2482</v>
      </c>
      <c r="J16" s="36" t="s">
        <v>18</v>
      </c>
      <c r="K16" s="36">
        <f t="shared" ref="K16:P16" si="10">SUM(K5:K15)</f>
        <v>29</v>
      </c>
      <c r="L16" s="36">
        <f t="shared" si="10"/>
        <v>21</v>
      </c>
      <c r="M16" s="36">
        <f t="shared" si="10"/>
        <v>17</v>
      </c>
      <c r="N16" s="36">
        <f t="shared" si="10"/>
        <v>10</v>
      </c>
      <c r="O16" s="36">
        <f>SUM(O5:O15)</f>
        <v>19</v>
      </c>
      <c r="P16" s="36">
        <f t="shared" si="10"/>
        <v>18</v>
      </c>
      <c r="Q16" s="36">
        <f t="shared" si="2"/>
        <v>114</v>
      </c>
      <c r="S16" s="36">
        <f>SUM(S5:S15)</f>
        <v>117</v>
      </c>
    </row>
    <row r="17" spans="1:20" s="90" customFormat="1" ht="12.75" customHeight="1" x14ac:dyDescent="0.2">
      <c r="C17" s="71"/>
      <c r="D17" s="71"/>
      <c r="E17" s="71"/>
      <c r="F17" s="71"/>
      <c r="G17" s="71"/>
      <c r="H17" s="71"/>
      <c r="I17" s="71"/>
    </row>
    <row r="18" spans="1:20" x14ac:dyDescent="0.2">
      <c r="C18" s="255">
        <v>680</v>
      </c>
      <c r="D18" s="255">
        <v>495</v>
      </c>
      <c r="E18" s="255">
        <v>386</v>
      </c>
      <c r="F18" s="255">
        <v>183</v>
      </c>
      <c r="G18" s="255">
        <v>417</v>
      </c>
      <c r="H18" s="255">
        <v>345</v>
      </c>
      <c r="I18" s="256">
        <v>2506</v>
      </c>
      <c r="K18" s="255">
        <v>29</v>
      </c>
      <c r="L18" s="255">
        <v>22</v>
      </c>
      <c r="M18" s="255">
        <v>19</v>
      </c>
      <c r="N18" s="255">
        <v>10</v>
      </c>
      <c r="O18" s="255">
        <v>19</v>
      </c>
      <c r="P18" s="255">
        <v>18</v>
      </c>
      <c r="Q18" s="256" t="s">
        <v>331</v>
      </c>
      <c r="R18" s="255"/>
      <c r="S18" s="255"/>
    </row>
    <row r="19" spans="1:20" s="36" customFormat="1" x14ac:dyDescent="0.2">
      <c r="C19" s="88">
        <f>C16-C18</f>
        <v>7</v>
      </c>
      <c r="D19" s="88">
        <f t="shared" ref="D19:I19" si="11">D16-D18</f>
        <v>-6</v>
      </c>
      <c r="E19" s="88">
        <f t="shared" si="11"/>
        <v>-23</v>
      </c>
      <c r="F19" s="88">
        <f t="shared" si="11"/>
        <v>-4</v>
      </c>
      <c r="G19" s="88">
        <f t="shared" si="11"/>
        <v>11</v>
      </c>
      <c r="H19" s="88">
        <f t="shared" si="11"/>
        <v>-9</v>
      </c>
      <c r="I19" s="88">
        <f t="shared" si="11"/>
        <v>-24</v>
      </c>
      <c r="J19" s="88"/>
      <c r="K19" s="36">
        <f>K16-K18</f>
        <v>0</v>
      </c>
      <c r="L19" s="36">
        <f t="shared" ref="L19:P19" si="12">L16-L18</f>
        <v>-1</v>
      </c>
      <c r="M19" s="36">
        <f t="shared" si="12"/>
        <v>-2</v>
      </c>
      <c r="N19" s="36">
        <f t="shared" si="12"/>
        <v>0</v>
      </c>
      <c r="O19" s="36">
        <f t="shared" si="12"/>
        <v>0</v>
      </c>
      <c r="P19" s="36">
        <f t="shared" si="12"/>
        <v>0</v>
      </c>
      <c r="R19" s="36" t="s">
        <v>324</v>
      </c>
    </row>
    <row r="20" spans="1:20" s="36" customFormat="1" x14ac:dyDescent="0.2">
      <c r="C20" s="88"/>
      <c r="D20" s="88"/>
      <c r="E20" s="88"/>
      <c r="F20" s="88"/>
      <c r="G20" s="88"/>
      <c r="H20" s="88"/>
      <c r="I20" s="88"/>
      <c r="J20" s="88"/>
    </row>
    <row r="21" spans="1:20" x14ac:dyDescent="0.2">
      <c r="C21" s="35"/>
      <c r="D21" s="35"/>
      <c r="E21" s="35"/>
      <c r="F21" s="35"/>
      <c r="G21" s="88" t="s">
        <v>0</v>
      </c>
      <c r="H21" s="35"/>
      <c r="I21" s="35"/>
    </row>
    <row r="22" spans="1:20" x14ac:dyDescent="0.2">
      <c r="A22" s="71" t="s">
        <v>0</v>
      </c>
      <c r="C22" s="162">
        <v>230</v>
      </c>
      <c r="D22" s="162">
        <v>140</v>
      </c>
      <c r="E22" s="162">
        <v>100</v>
      </c>
      <c r="F22" s="162">
        <v>64</v>
      </c>
      <c r="G22" s="162">
        <v>145</v>
      </c>
      <c r="H22" s="162">
        <v>135</v>
      </c>
      <c r="I22" s="71">
        <f>SUM(C22:H22)</f>
        <v>814</v>
      </c>
    </row>
    <row r="23" spans="1:20" s="36" customFormat="1" x14ac:dyDescent="0.2">
      <c r="A23" s="36" t="s">
        <v>299</v>
      </c>
      <c r="C23" s="169">
        <v>41</v>
      </c>
      <c r="D23" s="169">
        <v>33</v>
      </c>
      <c r="E23" s="169">
        <v>24</v>
      </c>
      <c r="F23" s="169">
        <v>24</v>
      </c>
      <c r="G23" s="169">
        <v>37</v>
      </c>
      <c r="H23" s="169">
        <v>35</v>
      </c>
      <c r="I23" s="71">
        <f>SUM(C23:H23)</f>
        <v>194</v>
      </c>
    </row>
    <row r="24" spans="1:20" x14ac:dyDescent="0.2">
      <c r="A24" s="36" t="s">
        <v>18</v>
      </c>
      <c r="B24" s="36"/>
      <c r="C24" s="256">
        <f>SUM(C22:C23)</f>
        <v>271</v>
      </c>
      <c r="D24" s="256">
        <f t="shared" ref="D24:H24" si="13">SUM(D22:D23)</f>
        <v>173</v>
      </c>
      <c r="E24" s="256">
        <f t="shared" si="13"/>
        <v>124</v>
      </c>
      <c r="F24" s="256">
        <f t="shared" si="13"/>
        <v>88</v>
      </c>
      <c r="G24" s="256">
        <f t="shared" si="13"/>
        <v>182</v>
      </c>
      <c r="H24" s="256">
        <f t="shared" si="13"/>
        <v>170</v>
      </c>
      <c r="I24" s="256">
        <f>SUM(C24:H24)</f>
        <v>1008</v>
      </c>
    </row>
    <row r="25" spans="1:20" ht="18" hidden="1" customHeight="1" x14ac:dyDescent="0.25">
      <c r="A25" s="372" t="e">
        <f>+#REF!</f>
        <v>#REF!</v>
      </c>
      <c r="B25" s="372"/>
      <c r="C25" s="372"/>
      <c r="D25" s="372"/>
      <c r="E25" s="372"/>
      <c r="F25" s="372"/>
      <c r="G25" s="372"/>
      <c r="H25" s="372"/>
      <c r="I25" s="372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1:20" ht="15.75" hidden="1" customHeight="1" x14ac:dyDescent="0.25">
      <c r="A26" s="375" t="s">
        <v>63</v>
      </c>
      <c r="B26" s="375"/>
      <c r="C26" s="375"/>
      <c r="D26" s="375"/>
      <c r="E26" s="375"/>
      <c r="F26" s="375"/>
      <c r="G26" s="375"/>
      <c r="H26" s="375"/>
      <c r="I26" s="375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</row>
    <row r="27" spans="1:20" ht="12.75" hidden="1" customHeight="1" x14ac:dyDescent="0.2">
      <c r="B27" s="374" t="s">
        <v>20</v>
      </c>
      <c r="C27" s="374"/>
      <c r="D27" s="374"/>
      <c r="E27" s="374"/>
      <c r="F27" s="374"/>
      <c r="G27" s="374"/>
      <c r="H27" s="374"/>
      <c r="I27" s="374"/>
      <c r="J27" s="88"/>
      <c r="K27" s="88"/>
      <c r="L27" s="88"/>
      <c r="M27" s="88"/>
      <c r="N27" s="88"/>
      <c r="O27" s="88"/>
      <c r="P27" s="88"/>
      <c r="Q27" s="88"/>
      <c r="R27" s="88"/>
      <c r="T27" s="36"/>
    </row>
    <row r="28" spans="1:20" s="89" customFormat="1" hidden="1" x14ac:dyDescent="0.2">
      <c r="B28" s="71" t="str">
        <f>G4</f>
        <v>BOR</v>
      </c>
      <c r="C28" s="71" t="str">
        <f t="shared" ref="C28:H28" si="14">C4</f>
        <v>FRB</v>
      </c>
      <c r="D28" s="71" t="str">
        <f t="shared" si="14"/>
        <v>HOL</v>
      </c>
      <c r="E28" s="71" t="str">
        <f t="shared" si="14"/>
        <v>PED</v>
      </c>
      <c r="F28" s="71" t="str">
        <f t="shared" si="14"/>
        <v>RVE</v>
      </c>
      <c r="G28" s="71"/>
      <c r="H28" s="71" t="str">
        <f t="shared" si="14"/>
        <v>STL</v>
      </c>
      <c r="I28" s="89" t="s">
        <v>18</v>
      </c>
    </row>
    <row r="29" spans="1:20" hidden="1" x14ac:dyDescent="0.2">
      <c r="A29" s="71" t="s">
        <v>7</v>
      </c>
      <c r="B29" s="71">
        <f t="shared" ref="B29:H29" si="15">B30</f>
        <v>28</v>
      </c>
      <c r="C29" s="71">
        <f t="shared" si="15"/>
        <v>63</v>
      </c>
      <c r="D29" s="71">
        <f t="shared" si="15"/>
        <v>35</v>
      </c>
      <c r="E29" s="71">
        <f t="shared" si="15"/>
        <v>25</v>
      </c>
      <c r="F29" s="71">
        <f t="shared" si="15"/>
        <v>9</v>
      </c>
      <c r="H29" s="71">
        <f t="shared" si="15"/>
        <v>31</v>
      </c>
      <c r="I29" s="71">
        <f t="shared" ref="I29:I44" si="16">SUM(B29:H29)</f>
        <v>191</v>
      </c>
    </row>
    <row r="30" spans="1:20" hidden="1" x14ac:dyDescent="0.2">
      <c r="A30" s="71" t="s">
        <v>8</v>
      </c>
      <c r="B30" s="71">
        <f t="shared" ref="B30:B38" si="17">G6</f>
        <v>28</v>
      </c>
      <c r="C30" s="71">
        <f t="shared" ref="C30:F34" si="18">C6</f>
        <v>63</v>
      </c>
      <c r="D30" s="71">
        <f t="shared" si="18"/>
        <v>35</v>
      </c>
      <c r="E30" s="71">
        <f t="shared" si="18"/>
        <v>25</v>
      </c>
      <c r="F30" s="71">
        <f t="shared" si="18"/>
        <v>9</v>
      </c>
      <c r="H30" s="71">
        <f t="shared" ref="H30:H38" si="19">H6</f>
        <v>31</v>
      </c>
      <c r="I30" s="71">
        <f t="shared" si="16"/>
        <v>191</v>
      </c>
    </row>
    <row r="31" spans="1:20" hidden="1" x14ac:dyDescent="0.2">
      <c r="A31" s="71" t="s">
        <v>9</v>
      </c>
      <c r="B31" s="71">
        <f t="shared" si="17"/>
        <v>44</v>
      </c>
      <c r="C31" s="71">
        <f t="shared" si="18"/>
        <v>63</v>
      </c>
      <c r="D31" s="71">
        <f t="shared" si="18"/>
        <v>48</v>
      </c>
      <c r="E31" s="71">
        <f t="shared" si="18"/>
        <v>24</v>
      </c>
      <c r="F31" s="71">
        <f t="shared" si="18"/>
        <v>17</v>
      </c>
      <c r="H31" s="71">
        <f t="shared" si="19"/>
        <v>35</v>
      </c>
      <c r="I31" s="71">
        <f t="shared" si="16"/>
        <v>231</v>
      </c>
    </row>
    <row r="32" spans="1:20" hidden="1" x14ac:dyDescent="0.2">
      <c r="A32" s="71" t="s">
        <v>10</v>
      </c>
      <c r="B32" s="71">
        <f t="shared" si="17"/>
        <v>43</v>
      </c>
      <c r="C32" s="71">
        <f t="shared" si="18"/>
        <v>49</v>
      </c>
      <c r="D32" s="71">
        <f t="shared" si="18"/>
        <v>45</v>
      </c>
      <c r="E32" s="71">
        <f t="shared" si="18"/>
        <v>28</v>
      </c>
      <c r="F32" s="71">
        <f t="shared" si="18"/>
        <v>14</v>
      </c>
      <c r="H32" s="71">
        <f t="shared" si="19"/>
        <v>28</v>
      </c>
      <c r="I32" s="71">
        <f t="shared" si="16"/>
        <v>207</v>
      </c>
    </row>
    <row r="33" spans="1:28" hidden="1" x14ac:dyDescent="0.2">
      <c r="A33" s="71" t="s">
        <v>11</v>
      </c>
      <c r="B33" s="71">
        <f t="shared" si="17"/>
        <v>37</v>
      </c>
      <c r="C33" s="71">
        <f t="shared" si="18"/>
        <v>68</v>
      </c>
      <c r="D33" s="71">
        <f t="shared" si="18"/>
        <v>38</v>
      </c>
      <c r="E33" s="71">
        <f t="shared" si="18"/>
        <v>32</v>
      </c>
      <c r="F33" s="71">
        <f t="shared" si="18"/>
        <v>22</v>
      </c>
      <c r="H33" s="71">
        <f t="shared" si="19"/>
        <v>36</v>
      </c>
      <c r="I33" s="71">
        <f t="shared" si="16"/>
        <v>233</v>
      </c>
    </row>
    <row r="34" spans="1:28" ht="12.75" hidden="1" customHeight="1" x14ac:dyDescent="0.2">
      <c r="A34" s="71" t="s">
        <v>12</v>
      </c>
      <c r="B34" s="71">
        <f t="shared" si="17"/>
        <v>30</v>
      </c>
      <c r="C34" s="71">
        <f t="shared" si="18"/>
        <v>68</v>
      </c>
      <c r="D34" s="71">
        <f t="shared" si="18"/>
        <v>67</v>
      </c>
      <c r="E34" s="71">
        <f t="shared" si="18"/>
        <v>42</v>
      </c>
      <c r="F34" s="71">
        <f t="shared" si="18"/>
        <v>23</v>
      </c>
      <c r="H34" s="71">
        <f t="shared" si="19"/>
        <v>33</v>
      </c>
      <c r="I34" s="71">
        <f t="shared" si="16"/>
        <v>263</v>
      </c>
    </row>
    <row r="35" spans="1:28" ht="12.75" hidden="1" customHeight="1" x14ac:dyDescent="0.2">
      <c r="A35" s="71" t="s">
        <v>13</v>
      </c>
      <c r="B35" s="71">
        <f t="shared" si="17"/>
        <v>48</v>
      </c>
      <c r="C35" s="71">
        <f t="shared" ref="C35:D38" si="20">C11</f>
        <v>75</v>
      </c>
      <c r="D35" s="71">
        <f t="shared" si="20"/>
        <v>49</v>
      </c>
      <c r="E35" s="71" t="e">
        <f>B35*D35*#REF!</f>
        <v>#REF!</v>
      </c>
      <c r="F35" s="71">
        <f t="shared" ref="F35:F43" si="21">F11</f>
        <v>18</v>
      </c>
      <c r="H35" s="71">
        <f t="shared" si="19"/>
        <v>37</v>
      </c>
      <c r="I35" s="71" t="e">
        <f t="shared" si="16"/>
        <v>#REF!</v>
      </c>
    </row>
    <row r="36" spans="1:28" ht="12.75" hidden="1" customHeight="1" x14ac:dyDescent="0.2">
      <c r="A36" s="71" t="s">
        <v>14</v>
      </c>
      <c r="B36" s="71">
        <f t="shared" si="17"/>
        <v>46</v>
      </c>
      <c r="C36" s="71">
        <f t="shared" si="20"/>
        <v>73</v>
      </c>
      <c r="D36" s="71">
        <f t="shared" si="20"/>
        <v>44</v>
      </c>
      <c r="E36" s="71">
        <f>E12</f>
        <v>41</v>
      </c>
      <c r="F36" s="71">
        <f t="shared" si="21"/>
        <v>16</v>
      </c>
      <c r="H36" s="71">
        <f t="shared" si="19"/>
        <v>42</v>
      </c>
      <c r="I36" s="71">
        <f t="shared" si="16"/>
        <v>262</v>
      </c>
    </row>
    <row r="37" spans="1:28" ht="12.75" hidden="1" customHeight="1" x14ac:dyDescent="0.2">
      <c r="A37" s="71" t="s">
        <v>15</v>
      </c>
      <c r="B37" s="71">
        <f t="shared" si="17"/>
        <v>52</v>
      </c>
      <c r="C37" s="71">
        <f t="shared" si="20"/>
        <v>71</v>
      </c>
      <c r="D37" s="71">
        <f t="shared" si="20"/>
        <v>56</v>
      </c>
      <c r="E37" s="71">
        <f>E13</f>
        <v>50</v>
      </c>
      <c r="F37" s="71">
        <f t="shared" si="21"/>
        <v>25</v>
      </c>
      <c r="H37" s="71">
        <f t="shared" si="19"/>
        <v>26</v>
      </c>
      <c r="I37" s="71">
        <f t="shared" si="16"/>
        <v>280</v>
      </c>
    </row>
    <row r="38" spans="1:28" ht="12.75" hidden="1" customHeight="1" x14ac:dyDescent="0.2">
      <c r="A38" s="71" t="s">
        <v>16</v>
      </c>
      <c r="B38" s="71">
        <f t="shared" si="17"/>
        <v>46</v>
      </c>
      <c r="C38" s="71">
        <f t="shared" si="20"/>
        <v>79</v>
      </c>
      <c r="D38" s="71">
        <f t="shared" si="20"/>
        <v>52</v>
      </c>
      <c r="E38" s="71">
        <f>E14</f>
        <v>63</v>
      </c>
      <c r="F38" s="71">
        <f t="shared" si="21"/>
        <v>13</v>
      </c>
      <c r="H38" s="71">
        <f t="shared" si="19"/>
        <v>33</v>
      </c>
      <c r="I38" s="71">
        <f t="shared" si="16"/>
        <v>286</v>
      </c>
    </row>
    <row r="39" spans="1:28" ht="12.75" hidden="1" customHeight="1" x14ac:dyDescent="0.2">
      <c r="A39" s="71" t="s">
        <v>17</v>
      </c>
      <c r="B39" s="71">
        <v>51</v>
      </c>
      <c r="D39" s="71">
        <f>D15</f>
        <v>0</v>
      </c>
      <c r="F39" s="71">
        <f t="shared" si="21"/>
        <v>0</v>
      </c>
      <c r="I39" s="71">
        <f t="shared" si="16"/>
        <v>51</v>
      </c>
    </row>
    <row r="40" spans="1:28" s="36" customFormat="1" ht="12.75" hidden="1" customHeight="1" x14ac:dyDescent="0.2">
      <c r="A40" s="36" t="s">
        <v>18</v>
      </c>
      <c r="B40" s="36">
        <f t="shared" ref="B40:H40" si="22">SUM(B28:B39)</f>
        <v>453</v>
      </c>
      <c r="C40" s="36">
        <f t="shared" si="22"/>
        <v>672</v>
      </c>
      <c r="D40" s="71">
        <f>D16</f>
        <v>489</v>
      </c>
      <c r="E40" s="36" t="e">
        <f t="shared" si="22"/>
        <v>#REF!</v>
      </c>
      <c r="F40" s="71">
        <f t="shared" si="21"/>
        <v>179</v>
      </c>
      <c r="G40" s="71"/>
      <c r="H40" s="36">
        <f t="shared" si="22"/>
        <v>332</v>
      </c>
      <c r="I40" s="71" t="e">
        <f t="shared" si="16"/>
        <v>#REF!</v>
      </c>
    </row>
    <row r="41" spans="1:28" ht="12.75" hidden="1" customHeight="1" x14ac:dyDescent="0.2">
      <c r="D41" s="71">
        <f>D17</f>
        <v>0</v>
      </c>
      <c r="F41" s="71">
        <f t="shared" si="21"/>
        <v>0</v>
      </c>
      <c r="I41" s="71">
        <f t="shared" si="16"/>
        <v>0</v>
      </c>
    </row>
    <row r="42" spans="1:28" ht="12.75" hidden="1" customHeight="1" x14ac:dyDescent="0.2">
      <c r="A42" s="36"/>
      <c r="B42" s="36"/>
      <c r="C42" s="36"/>
      <c r="D42" s="71">
        <f>D18</f>
        <v>495</v>
      </c>
      <c r="E42" s="36"/>
      <c r="F42" s="71">
        <f t="shared" si="21"/>
        <v>183</v>
      </c>
      <c r="H42" s="36"/>
      <c r="I42" s="71">
        <f t="shared" si="16"/>
        <v>678</v>
      </c>
      <c r="S42" s="36"/>
    </row>
    <row r="43" spans="1:28" ht="12.75" hidden="1" customHeight="1" x14ac:dyDescent="0.2">
      <c r="A43" s="71" t="s">
        <v>62</v>
      </c>
      <c r="D43" s="71">
        <f>D19</f>
        <v>-6</v>
      </c>
      <c r="F43" s="71">
        <f t="shared" si="21"/>
        <v>-4</v>
      </c>
      <c r="I43" s="71">
        <f>Elever!L13</f>
        <v>2</v>
      </c>
    </row>
    <row r="44" spans="1:28" ht="12.75" hidden="1" customHeight="1" x14ac:dyDescent="0.2">
      <c r="A44" s="71" t="s">
        <v>0</v>
      </c>
      <c r="B44" s="71" t="e">
        <f>+#REF!</f>
        <v>#REF!</v>
      </c>
      <c r="C44" s="71" t="e">
        <f>+#REF!</f>
        <v>#REF!</v>
      </c>
      <c r="D44" s="71">
        <f t="shared" ref="D44" si="23">D21</f>
        <v>0</v>
      </c>
      <c r="E44" s="71" t="e">
        <f>+#REF!</f>
        <v>#REF!</v>
      </c>
      <c r="F44" s="71">
        <f t="shared" ref="F44" si="24">F21</f>
        <v>0</v>
      </c>
      <c r="H44" s="71" t="e">
        <f>+#REF!</f>
        <v>#REF!</v>
      </c>
      <c r="I44" s="71" t="e">
        <f t="shared" si="16"/>
        <v>#REF!</v>
      </c>
    </row>
    <row r="45" spans="1:28" ht="12.75" hidden="1" customHeight="1" x14ac:dyDescent="0.2"/>
    <row r="46" spans="1:28" s="36" customFormat="1" ht="12.75" hidden="1" customHeight="1" x14ac:dyDescent="0.2">
      <c r="A46" s="92" t="s">
        <v>21</v>
      </c>
      <c r="B46" s="92"/>
      <c r="C46" s="92"/>
      <c r="D46" s="93"/>
      <c r="E46" s="93" t="s">
        <v>22</v>
      </c>
      <c r="F46" s="71"/>
      <c r="G46" s="71"/>
      <c r="H46" s="93" t="s">
        <v>23</v>
      </c>
      <c r="I46" s="93"/>
      <c r="U46" s="71"/>
      <c r="V46" s="71"/>
      <c r="W46" s="71"/>
      <c r="X46" s="71"/>
      <c r="Y46" s="71"/>
      <c r="Z46" s="71"/>
      <c r="AA46" s="71"/>
      <c r="AB46" s="71"/>
    </row>
    <row r="47" spans="1:28" ht="12.75" hidden="1" customHeight="1" x14ac:dyDescent="0.2">
      <c r="A47" s="92"/>
      <c r="B47" s="92"/>
      <c r="C47" s="92"/>
      <c r="D47" s="93"/>
      <c r="E47" s="93"/>
      <c r="F47" s="93"/>
      <c r="G47" s="93"/>
      <c r="H47" s="93"/>
      <c r="I47" s="93"/>
    </row>
    <row r="48" spans="1:28" hidden="1" x14ac:dyDescent="0.2">
      <c r="A48" s="94" t="s">
        <v>67</v>
      </c>
      <c r="B48" s="94"/>
      <c r="C48" s="94"/>
      <c r="D48" s="95"/>
      <c r="E48" s="95"/>
      <c r="F48" s="96" t="s">
        <v>120</v>
      </c>
      <c r="G48" s="96"/>
      <c r="H48" s="97" t="s">
        <v>24</v>
      </c>
      <c r="I48" s="97"/>
    </row>
    <row r="49" spans="1:21" hidden="1" x14ac:dyDescent="0.2">
      <c r="A49" s="99" t="s">
        <v>67</v>
      </c>
      <c r="B49" s="99"/>
      <c r="C49" s="99"/>
      <c r="D49" s="100"/>
      <c r="E49" s="100"/>
      <c r="F49" s="101" t="s">
        <v>121</v>
      </c>
      <c r="G49" s="101"/>
      <c r="H49" s="102" t="s">
        <v>26</v>
      </c>
      <c r="I49" s="102"/>
    </row>
    <row r="50" spans="1:21" hidden="1" x14ac:dyDescent="0.2">
      <c r="A50" s="99" t="s">
        <v>29</v>
      </c>
      <c r="B50" s="99"/>
      <c r="C50" s="99"/>
      <c r="D50" s="100"/>
      <c r="E50" s="100"/>
      <c r="F50" s="101" t="s">
        <v>122</v>
      </c>
      <c r="G50" s="101"/>
      <c r="H50" s="102" t="s">
        <v>30</v>
      </c>
      <c r="I50" s="102"/>
    </row>
    <row r="51" spans="1:21" hidden="1" x14ac:dyDescent="0.2">
      <c r="A51" s="94" t="s">
        <v>93</v>
      </c>
      <c r="B51" s="94"/>
      <c r="C51" s="94"/>
      <c r="D51" s="95"/>
      <c r="E51" s="95" t="s">
        <v>123</v>
      </c>
      <c r="F51" s="96"/>
      <c r="G51" s="96"/>
      <c r="H51" s="97" t="s">
        <v>124</v>
      </c>
      <c r="I51" s="97"/>
      <c r="U51" s="36"/>
    </row>
    <row r="52" spans="1:21" hidden="1" x14ac:dyDescent="0.2">
      <c r="A52" s="104"/>
      <c r="B52" s="104"/>
      <c r="C52" s="104"/>
      <c r="D52" s="105"/>
      <c r="E52" s="105"/>
      <c r="F52" s="106"/>
      <c r="G52" s="106"/>
      <c r="H52" s="26"/>
      <c r="I52" s="26"/>
      <c r="U52" s="36"/>
    </row>
    <row r="53" spans="1:21" ht="15.75" hidden="1" x14ac:dyDescent="0.25">
      <c r="A53" s="107" t="s">
        <v>116</v>
      </c>
      <c r="B53" s="104"/>
      <c r="C53" s="104"/>
      <c r="D53" s="105"/>
      <c r="E53" s="105"/>
      <c r="F53" s="106"/>
      <c r="G53" s="106"/>
      <c r="H53" s="26"/>
      <c r="I53" s="26"/>
      <c r="U53" s="36"/>
    </row>
    <row r="54" spans="1:21" hidden="1" x14ac:dyDescent="0.2">
      <c r="A54" s="104"/>
      <c r="B54" s="104"/>
      <c r="C54" s="104"/>
      <c r="D54" s="105"/>
      <c r="E54" s="105"/>
      <c r="F54" s="106"/>
      <c r="G54" s="106"/>
      <c r="H54" s="26"/>
      <c r="I54" s="26"/>
      <c r="U54" s="36"/>
    </row>
    <row r="55" spans="1:21" hidden="1" x14ac:dyDescent="0.2">
      <c r="A55" s="108" t="s">
        <v>113</v>
      </c>
      <c r="B55" s="109"/>
      <c r="C55" s="109"/>
      <c r="D55" s="109"/>
      <c r="E55" s="109"/>
      <c r="F55" s="109"/>
      <c r="G55" s="109"/>
      <c r="H55" s="109"/>
      <c r="I55" s="26"/>
      <c r="U55" s="36"/>
    </row>
    <row r="56" spans="1:21" hidden="1" x14ac:dyDescent="0.2">
      <c r="A56" s="110" t="s">
        <v>114</v>
      </c>
      <c r="B56" s="111"/>
      <c r="C56" s="111"/>
      <c r="D56" s="111"/>
      <c r="E56" s="111"/>
      <c r="F56" s="111"/>
      <c r="G56" s="111"/>
      <c r="H56" s="111"/>
      <c r="I56" s="26"/>
      <c r="U56" s="36"/>
    </row>
    <row r="57" spans="1:21" hidden="1" x14ac:dyDescent="0.2">
      <c r="A57" s="112" t="s">
        <v>115</v>
      </c>
      <c r="B57" s="102"/>
      <c r="C57" s="102"/>
      <c r="D57" s="102"/>
      <c r="E57" s="102"/>
      <c r="F57" s="102"/>
      <c r="G57" s="102"/>
      <c r="H57" s="102"/>
      <c r="I57" s="26"/>
      <c r="U57" s="36"/>
    </row>
    <row r="58" spans="1:21" hidden="1" x14ac:dyDescent="0.2">
      <c r="A58" s="113"/>
      <c r="B58" s="26"/>
      <c r="C58" s="26"/>
      <c r="D58" s="26"/>
      <c r="E58" s="26"/>
      <c r="F58" s="26"/>
      <c r="G58" s="26"/>
      <c r="H58" s="26"/>
      <c r="I58" s="26"/>
      <c r="U58" s="36"/>
    </row>
    <row r="59" spans="1:21" hidden="1" x14ac:dyDescent="0.2">
      <c r="A59" s="114" t="s">
        <v>69</v>
      </c>
      <c r="B59" s="92"/>
      <c r="C59" s="92"/>
      <c r="D59" s="93"/>
      <c r="E59" s="93"/>
      <c r="F59" s="115"/>
      <c r="G59" s="115"/>
      <c r="H59" s="33"/>
      <c r="I59" s="33"/>
      <c r="J59" s="93"/>
      <c r="L59" s="93"/>
      <c r="M59" s="93"/>
      <c r="N59" s="93"/>
      <c r="O59" s="93"/>
      <c r="P59" s="93"/>
      <c r="Q59" s="93"/>
    </row>
    <row r="60" spans="1:21" hidden="1" x14ac:dyDescent="0.2">
      <c r="A60" s="92" t="s">
        <v>31</v>
      </c>
      <c r="B60" s="92"/>
      <c r="C60" s="92"/>
      <c r="D60" s="93"/>
      <c r="E60" s="93"/>
      <c r="F60" s="71" t="s">
        <v>70</v>
      </c>
      <c r="H60" s="93" t="s">
        <v>23</v>
      </c>
      <c r="I60" s="93"/>
      <c r="J60" s="93"/>
      <c r="K60" s="93"/>
      <c r="L60" s="93"/>
      <c r="M60" s="93"/>
      <c r="N60" s="93"/>
      <c r="O60" s="93"/>
      <c r="P60" s="93"/>
      <c r="Q60" s="93"/>
    </row>
    <row r="61" spans="1:21" hidden="1" x14ac:dyDescent="0.2">
      <c r="A61" s="92"/>
      <c r="B61" s="92"/>
      <c r="C61" s="92"/>
      <c r="D61" s="93"/>
      <c r="E61" s="93"/>
      <c r="F61" s="93"/>
      <c r="G61" s="93"/>
      <c r="H61" s="93"/>
      <c r="I61" s="93"/>
      <c r="J61" s="93"/>
      <c r="K61" s="98"/>
      <c r="L61" s="33"/>
      <c r="M61" s="33"/>
      <c r="N61" s="33"/>
      <c r="O61" s="33"/>
      <c r="P61" s="33"/>
      <c r="Q61" s="33"/>
    </row>
    <row r="62" spans="1:21" hidden="1" x14ac:dyDescent="0.2">
      <c r="A62" s="99" t="s">
        <v>1</v>
      </c>
      <c r="B62" s="99"/>
      <c r="C62" s="99"/>
      <c r="D62" s="117"/>
      <c r="E62" s="118"/>
      <c r="F62" s="117" t="s">
        <v>125</v>
      </c>
      <c r="G62" s="117"/>
      <c r="H62" s="102" t="s">
        <v>33</v>
      </c>
      <c r="I62" s="102"/>
      <c r="J62" s="93"/>
      <c r="K62" s="98"/>
      <c r="L62" s="33"/>
      <c r="M62" s="33"/>
      <c r="N62" s="92"/>
      <c r="O62" s="92"/>
      <c r="P62" s="92"/>
      <c r="Q62" s="33"/>
    </row>
    <row r="63" spans="1:21" hidden="1" x14ac:dyDescent="0.2">
      <c r="A63" s="99" t="s">
        <v>2</v>
      </c>
      <c r="B63" s="99"/>
      <c r="C63" s="99"/>
      <c r="D63" s="118"/>
      <c r="E63" s="103"/>
      <c r="F63" s="118" t="s">
        <v>126</v>
      </c>
      <c r="G63" s="118"/>
      <c r="H63" s="102" t="s">
        <v>71</v>
      </c>
      <c r="I63" s="102"/>
      <c r="J63" s="119"/>
      <c r="K63" s="98"/>
      <c r="L63" s="33"/>
      <c r="M63" s="33"/>
      <c r="N63" s="33"/>
      <c r="O63" s="33"/>
      <c r="P63" s="33"/>
      <c r="Q63" s="33"/>
    </row>
    <row r="64" spans="1:21" hidden="1" x14ac:dyDescent="0.2">
      <c r="A64" s="104" t="s">
        <v>2</v>
      </c>
      <c r="B64" s="92"/>
      <c r="C64" s="92"/>
      <c r="D64" s="120"/>
      <c r="E64" s="120"/>
      <c r="F64" s="120" t="s">
        <v>127</v>
      </c>
      <c r="G64" s="120"/>
      <c r="H64" s="33" t="s">
        <v>32</v>
      </c>
      <c r="I64" s="33"/>
      <c r="J64" s="93"/>
      <c r="K64" s="115"/>
      <c r="L64" s="33"/>
      <c r="M64" s="33"/>
      <c r="N64" s="33"/>
      <c r="O64" s="33"/>
      <c r="P64" s="33"/>
      <c r="Q64" s="33"/>
    </row>
    <row r="65" spans="1:17" hidden="1" x14ac:dyDescent="0.2">
      <c r="A65" s="99" t="s">
        <v>2</v>
      </c>
      <c r="B65" s="99"/>
      <c r="C65" s="99"/>
      <c r="D65" s="118"/>
      <c r="E65" s="118"/>
      <c r="F65" s="118" t="s">
        <v>128</v>
      </c>
      <c r="G65" s="118"/>
      <c r="H65" s="102" t="s">
        <v>89</v>
      </c>
      <c r="I65" s="102"/>
      <c r="J65" s="93"/>
      <c r="K65" s="115"/>
      <c r="L65" s="33"/>
      <c r="M65" s="33"/>
      <c r="N65" s="33"/>
      <c r="O65" s="33"/>
      <c r="P65" s="33"/>
      <c r="Q65" s="33"/>
    </row>
    <row r="66" spans="1:17" hidden="1" x14ac:dyDescent="0.2">
      <c r="A66" s="104" t="s">
        <v>3</v>
      </c>
      <c r="B66" s="104"/>
      <c r="C66" s="104"/>
      <c r="D66" s="121"/>
      <c r="E66" s="35"/>
      <c r="F66" s="121"/>
      <c r="G66" s="121"/>
      <c r="H66" s="26" t="s">
        <v>117</v>
      </c>
      <c r="I66" s="26"/>
      <c r="J66" s="93"/>
      <c r="K66" s="115"/>
      <c r="L66" s="33"/>
      <c r="M66" s="33"/>
      <c r="N66" s="33"/>
      <c r="O66" s="33"/>
      <c r="P66" s="33"/>
      <c r="Q66" s="33"/>
    </row>
    <row r="67" spans="1:17" hidden="1" x14ac:dyDescent="0.2">
      <c r="A67" s="99" t="s">
        <v>3</v>
      </c>
      <c r="B67" s="99"/>
      <c r="C67" s="99"/>
      <c r="D67" s="118"/>
      <c r="E67" s="118"/>
      <c r="F67" s="118" t="s">
        <v>129</v>
      </c>
      <c r="G67" s="118"/>
      <c r="H67" s="102" t="s">
        <v>25</v>
      </c>
      <c r="I67" s="102"/>
      <c r="J67" s="116"/>
      <c r="K67" s="98"/>
      <c r="L67" s="33"/>
      <c r="M67" s="33"/>
      <c r="N67" s="33"/>
      <c r="O67" s="33"/>
      <c r="P67" s="33"/>
      <c r="Q67" s="33"/>
    </row>
    <row r="68" spans="1:17" hidden="1" x14ac:dyDescent="0.2">
      <c r="A68" s="103" t="s">
        <v>3</v>
      </c>
      <c r="B68" s="103"/>
      <c r="C68" s="103"/>
      <c r="D68" s="122"/>
      <c r="E68" s="122"/>
      <c r="F68" s="122" t="s">
        <v>130</v>
      </c>
      <c r="G68" s="122"/>
      <c r="H68" s="103" t="s">
        <v>72</v>
      </c>
      <c r="I68" s="103"/>
      <c r="J68" s="93"/>
      <c r="K68" s="98"/>
      <c r="L68" s="33"/>
      <c r="M68" s="33"/>
      <c r="N68" s="92"/>
      <c r="O68" s="92"/>
      <c r="P68" s="92"/>
      <c r="Q68" s="33"/>
    </row>
    <row r="69" spans="1:17" hidden="1" x14ac:dyDescent="0.2">
      <c r="A69" s="99" t="s">
        <v>6</v>
      </c>
      <c r="B69" s="99"/>
      <c r="C69" s="99"/>
      <c r="D69" s="117"/>
      <c r="E69" s="118"/>
      <c r="F69" s="117" t="s">
        <v>131</v>
      </c>
      <c r="G69" s="117"/>
      <c r="H69" s="102" t="s">
        <v>28</v>
      </c>
      <c r="I69" s="102"/>
      <c r="J69" s="93"/>
      <c r="K69" s="115"/>
      <c r="L69" s="33"/>
      <c r="M69" s="33"/>
      <c r="N69" s="33"/>
      <c r="O69" s="33"/>
      <c r="P69" s="33"/>
      <c r="Q69" s="33"/>
    </row>
    <row r="70" spans="1:17" hidden="1" x14ac:dyDescent="0.2">
      <c r="A70" s="99" t="s">
        <v>104</v>
      </c>
      <c r="B70" s="99"/>
      <c r="C70" s="99"/>
      <c r="D70" s="117"/>
      <c r="E70" s="118"/>
      <c r="F70" s="117" t="s">
        <v>132</v>
      </c>
      <c r="G70" s="117"/>
      <c r="H70" s="102" t="s">
        <v>27</v>
      </c>
      <c r="I70" s="102"/>
      <c r="J70" s="93"/>
      <c r="K70" s="115"/>
      <c r="L70" s="33"/>
      <c r="M70" s="33"/>
      <c r="N70" s="33"/>
      <c r="O70" s="33"/>
      <c r="P70" s="33"/>
      <c r="Q70" s="33"/>
    </row>
    <row r="71" spans="1:17" hidden="1" x14ac:dyDescent="0.2">
      <c r="A71" s="92"/>
      <c r="B71" s="92"/>
      <c r="C71" s="92"/>
      <c r="D71" s="93"/>
      <c r="E71" s="93"/>
      <c r="F71" s="115"/>
      <c r="G71" s="115"/>
      <c r="H71" s="33"/>
      <c r="I71" s="33"/>
      <c r="J71" s="93"/>
      <c r="K71" s="115"/>
      <c r="L71" s="33"/>
      <c r="M71" s="33"/>
      <c r="N71" s="33"/>
      <c r="O71" s="33"/>
      <c r="P71" s="33"/>
      <c r="Q71" s="33"/>
    </row>
    <row r="72" spans="1:17" hidden="1" x14ac:dyDescent="0.2">
      <c r="A72" s="114" t="s">
        <v>133</v>
      </c>
      <c r="B72" s="92"/>
      <c r="C72" s="92"/>
      <c r="D72" s="93"/>
      <c r="E72" s="93"/>
      <c r="F72" s="115"/>
      <c r="G72" s="115"/>
      <c r="H72" s="33"/>
      <c r="I72" s="33"/>
      <c r="J72" s="93"/>
      <c r="K72" s="115"/>
      <c r="L72" s="33"/>
      <c r="M72" s="33"/>
      <c r="N72" s="33"/>
      <c r="O72" s="33"/>
      <c r="P72" s="33"/>
      <c r="Q72" s="33"/>
    </row>
    <row r="73" spans="1:17" hidden="1" x14ac:dyDescent="0.2">
      <c r="A73" s="92" t="s">
        <v>31</v>
      </c>
      <c r="B73" s="92"/>
      <c r="C73" s="92"/>
      <c r="D73" s="93"/>
      <c r="E73" s="93" t="s">
        <v>22</v>
      </c>
      <c r="H73" s="93" t="s">
        <v>23</v>
      </c>
      <c r="I73" s="93"/>
    </row>
    <row r="74" spans="1:17" s="36" customFormat="1" hidden="1" x14ac:dyDescent="0.2">
      <c r="A74" s="92"/>
      <c r="B74" s="92"/>
      <c r="C74" s="92"/>
      <c r="D74" s="93"/>
      <c r="E74" s="93"/>
      <c r="F74" s="71"/>
      <c r="G74" s="71"/>
      <c r="H74" s="93"/>
      <c r="I74" s="93"/>
    </row>
    <row r="75" spans="1:17" s="36" customFormat="1" hidden="1" x14ac:dyDescent="0.2">
      <c r="A75" s="99" t="s">
        <v>1</v>
      </c>
      <c r="B75" s="99"/>
      <c r="C75" s="99"/>
      <c r="D75" s="100"/>
      <c r="E75" s="100" t="s">
        <v>134</v>
      </c>
      <c r="F75" s="103"/>
      <c r="G75" s="103"/>
      <c r="H75" s="100" t="s">
        <v>90</v>
      </c>
      <c r="I75" s="100"/>
    </row>
    <row r="76" spans="1:17" s="36" customFormat="1" hidden="1" x14ac:dyDescent="0.2">
      <c r="A76" s="99" t="s">
        <v>1</v>
      </c>
      <c r="B76" s="99"/>
      <c r="C76" s="99"/>
      <c r="D76" s="100"/>
      <c r="E76" s="100"/>
      <c r="F76" s="101" t="s">
        <v>135</v>
      </c>
      <c r="G76" s="101"/>
      <c r="H76" s="102" t="s">
        <v>73</v>
      </c>
      <c r="I76" s="102"/>
    </row>
    <row r="77" spans="1:17" s="33" customFormat="1" hidden="1" x14ac:dyDescent="0.2">
      <c r="A77" s="104" t="s">
        <v>2</v>
      </c>
      <c r="B77" s="92"/>
      <c r="C77" s="92"/>
      <c r="D77" s="93"/>
      <c r="E77" s="93"/>
      <c r="F77" s="98" t="s">
        <v>136</v>
      </c>
      <c r="G77" s="98"/>
      <c r="H77" s="33" t="s">
        <v>74</v>
      </c>
    </row>
    <row r="78" spans="1:17" s="33" customFormat="1" hidden="1" x14ac:dyDescent="0.2">
      <c r="A78" s="99" t="s">
        <v>2</v>
      </c>
      <c r="B78" s="99"/>
      <c r="C78" s="99"/>
      <c r="D78" s="100"/>
      <c r="E78" s="100"/>
      <c r="F78" s="101" t="s">
        <v>137</v>
      </c>
      <c r="G78" s="101"/>
      <c r="H78" s="102" t="s">
        <v>75</v>
      </c>
      <c r="I78" s="102"/>
    </row>
    <row r="79" spans="1:17" s="33" customFormat="1" hidden="1" x14ac:dyDescent="0.2">
      <c r="A79" s="99" t="s">
        <v>5</v>
      </c>
      <c r="B79" s="99"/>
      <c r="C79" s="99"/>
      <c r="D79" s="100"/>
      <c r="E79" s="100" t="s">
        <v>138</v>
      </c>
      <c r="F79" s="103"/>
      <c r="G79" s="103"/>
      <c r="H79" s="100" t="s">
        <v>91</v>
      </c>
      <c r="I79" s="100"/>
    </row>
    <row r="80" spans="1:17" s="33" customFormat="1" hidden="1" x14ac:dyDescent="0.2">
      <c r="A80" s="92"/>
      <c r="B80" s="92"/>
      <c r="C80" s="92"/>
      <c r="D80" s="93"/>
      <c r="E80" s="93"/>
      <c r="F80" s="98"/>
      <c r="G80" s="98"/>
    </row>
    <row r="81" spans="1:9" s="33" customFormat="1" hidden="1" x14ac:dyDescent="0.2">
      <c r="A81" s="92"/>
      <c r="B81" s="92"/>
      <c r="C81" s="92"/>
      <c r="D81" s="93"/>
      <c r="E81" s="93"/>
      <c r="F81" s="115"/>
      <c r="G81" s="115"/>
    </row>
    <row r="82" spans="1:9" s="33" customFormat="1" hidden="1" x14ac:dyDescent="0.2">
      <c r="A82" s="71"/>
      <c r="B82" s="71"/>
      <c r="C82" s="71"/>
      <c r="D82" s="71"/>
      <c r="E82" s="71"/>
      <c r="F82" s="71"/>
      <c r="G82" s="71"/>
      <c r="H82" s="71"/>
      <c r="I82" s="71"/>
    </row>
    <row r="83" spans="1:9" s="33" customFormat="1" hidden="1" x14ac:dyDescent="0.2">
      <c r="A83" s="36" t="s">
        <v>34</v>
      </c>
      <c r="B83" s="36"/>
      <c r="C83" s="36"/>
      <c r="D83" s="36"/>
      <c r="E83" s="36"/>
      <c r="F83" s="36"/>
      <c r="G83" s="36"/>
      <c r="H83" s="36"/>
      <c r="I83" s="36"/>
    </row>
    <row r="84" spans="1:9" s="33" customFormat="1" hidden="1" x14ac:dyDescent="0.2">
      <c r="A84" s="33" t="s">
        <v>139</v>
      </c>
      <c r="H84" s="71"/>
    </row>
    <row r="85" spans="1:9" s="33" customFormat="1" hidden="1" x14ac:dyDescent="0.2">
      <c r="H85" s="37"/>
    </row>
    <row r="86" spans="1:9" s="33" customFormat="1" hidden="1" x14ac:dyDescent="0.2">
      <c r="A86" s="26" t="s">
        <v>123</v>
      </c>
      <c r="C86" s="33" t="s">
        <v>124</v>
      </c>
    </row>
    <row r="87" spans="1:9" s="33" customFormat="1" hidden="1" x14ac:dyDescent="0.2">
      <c r="A87" s="92" t="s">
        <v>31</v>
      </c>
      <c r="B87" s="92"/>
      <c r="C87" s="92"/>
      <c r="D87" s="93"/>
      <c r="E87" s="93" t="s">
        <v>22</v>
      </c>
      <c r="F87" s="71"/>
      <c r="G87" s="71"/>
      <c r="H87" s="93" t="s">
        <v>23</v>
      </c>
      <c r="I87" s="93"/>
    </row>
    <row r="88" spans="1:9" s="33" customFormat="1" hidden="1" x14ac:dyDescent="0.2"/>
    <row r="89" spans="1:9" s="33" customFormat="1" hidden="1" x14ac:dyDescent="0.2">
      <c r="A89" s="123" t="s">
        <v>110</v>
      </c>
    </row>
    <row r="90" spans="1:9" s="33" customFormat="1" hidden="1" x14ac:dyDescent="0.2">
      <c r="A90" s="26" t="s">
        <v>1</v>
      </c>
      <c r="E90" s="33" t="s">
        <v>140</v>
      </c>
      <c r="H90" s="33" t="s">
        <v>92</v>
      </c>
    </row>
    <row r="91" spans="1:9" s="33" customFormat="1" hidden="1" x14ac:dyDescent="0.2">
      <c r="A91" s="26" t="s">
        <v>2</v>
      </c>
      <c r="E91" s="33" t="s">
        <v>141</v>
      </c>
      <c r="H91" s="33" t="s">
        <v>94</v>
      </c>
    </row>
    <row r="92" spans="1:9" s="33" customFormat="1" hidden="1" x14ac:dyDescent="0.2">
      <c r="A92" s="102" t="s">
        <v>2</v>
      </c>
      <c r="B92" s="102"/>
      <c r="C92" s="102"/>
      <c r="D92" s="102"/>
      <c r="E92" s="102" t="s">
        <v>142</v>
      </c>
      <c r="F92" s="102"/>
      <c r="G92" s="102"/>
      <c r="H92" s="102" t="s">
        <v>107</v>
      </c>
      <c r="I92" s="102"/>
    </row>
    <row r="93" spans="1:9" s="33" customFormat="1" hidden="1" x14ac:dyDescent="0.2">
      <c r="A93" s="26" t="s">
        <v>2</v>
      </c>
      <c r="E93" s="33" t="s">
        <v>143</v>
      </c>
      <c r="H93" s="33" t="s">
        <v>97</v>
      </c>
    </row>
    <row r="94" spans="1:9" s="33" customFormat="1" hidden="1" x14ac:dyDescent="0.2">
      <c r="A94" s="26" t="s">
        <v>3</v>
      </c>
      <c r="E94" s="33" t="s">
        <v>144</v>
      </c>
      <c r="H94" s="33" t="s">
        <v>95</v>
      </c>
    </row>
    <row r="95" spans="1:9" s="33" customFormat="1" hidden="1" x14ac:dyDescent="0.2">
      <c r="A95" s="26" t="s">
        <v>3</v>
      </c>
      <c r="B95" s="26"/>
      <c r="C95" s="26"/>
      <c r="D95" s="26"/>
      <c r="E95" s="26" t="s">
        <v>145</v>
      </c>
      <c r="F95" s="26"/>
      <c r="G95" s="26"/>
      <c r="H95" s="26" t="s">
        <v>109</v>
      </c>
      <c r="I95" s="26"/>
    </row>
    <row r="96" spans="1:9" s="33" customFormat="1" hidden="1" x14ac:dyDescent="0.2">
      <c r="A96" s="26" t="s">
        <v>3</v>
      </c>
      <c r="E96" s="33" t="s">
        <v>146</v>
      </c>
      <c r="H96" s="33" t="s">
        <v>96</v>
      </c>
    </row>
    <row r="97" spans="1:9" s="33" customFormat="1" hidden="1" x14ac:dyDescent="0.2">
      <c r="A97" s="26" t="s">
        <v>4</v>
      </c>
      <c r="E97" s="33" t="s">
        <v>147</v>
      </c>
      <c r="H97" s="33" t="s">
        <v>98</v>
      </c>
    </row>
    <row r="98" spans="1:9" s="33" customFormat="1" hidden="1" x14ac:dyDescent="0.2">
      <c r="A98" s="26" t="s">
        <v>6</v>
      </c>
      <c r="B98" s="26"/>
      <c r="C98" s="26"/>
      <c r="D98" s="26"/>
      <c r="E98" s="26" t="s">
        <v>148</v>
      </c>
      <c r="F98" s="26"/>
      <c r="G98" s="26"/>
      <c r="H98" s="26" t="s">
        <v>108</v>
      </c>
      <c r="I98" s="26"/>
    </row>
    <row r="99" spans="1:9" s="33" customFormat="1" hidden="1" x14ac:dyDescent="0.2"/>
    <row r="100" spans="1:9" s="33" customFormat="1" hidden="1" x14ac:dyDescent="0.2"/>
    <row r="101" spans="1:9" s="33" customFormat="1" hidden="1" x14ac:dyDescent="0.2">
      <c r="A101" s="37" t="s">
        <v>112</v>
      </c>
    </row>
    <row r="102" spans="1:9" s="33" customFormat="1" hidden="1" x14ac:dyDescent="0.2">
      <c r="A102" s="26" t="s">
        <v>1</v>
      </c>
      <c r="B102" s="26"/>
      <c r="C102" s="26"/>
      <c r="D102" s="26"/>
      <c r="E102" s="26" t="s">
        <v>149</v>
      </c>
      <c r="F102" s="26"/>
      <c r="G102" s="26"/>
      <c r="H102" s="26" t="s">
        <v>100</v>
      </c>
      <c r="I102" s="26"/>
    </row>
    <row r="103" spans="1:9" s="33" customFormat="1" hidden="1" x14ac:dyDescent="0.2">
      <c r="A103" s="26" t="s">
        <v>1</v>
      </c>
      <c r="B103" s="26"/>
      <c r="C103" s="26"/>
      <c r="D103" s="26"/>
      <c r="E103" s="26" t="s">
        <v>150</v>
      </c>
      <c r="F103" s="26"/>
      <c r="G103" s="26"/>
      <c r="H103" s="26" t="s">
        <v>111</v>
      </c>
      <c r="I103" s="26"/>
    </row>
    <row r="104" spans="1:9" s="33" customFormat="1" hidden="1" x14ac:dyDescent="0.2">
      <c r="A104" s="26" t="s">
        <v>2</v>
      </c>
      <c r="B104" s="26"/>
      <c r="C104" s="26"/>
      <c r="D104" s="26"/>
      <c r="E104" s="26" t="s">
        <v>151</v>
      </c>
      <c r="F104" s="26"/>
      <c r="G104" s="26"/>
      <c r="H104" s="26" t="s">
        <v>82</v>
      </c>
      <c r="I104" s="26"/>
    </row>
    <row r="105" spans="1:9" s="33" customFormat="1" hidden="1" x14ac:dyDescent="0.2">
      <c r="A105" s="26" t="s">
        <v>3</v>
      </c>
      <c r="E105" s="33" t="s">
        <v>152</v>
      </c>
      <c r="H105" s="33" t="s">
        <v>99</v>
      </c>
    </row>
    <row r="106" spans="1:9" s="33" customFormat="1" hidden="1" x14ac:dyDescent="0.2">
      <c r="A106" s="26" t="s">
        <v>3</v>
      </c>
      <c r="B106" s="26"/>
      <c r="C106" s="26"/>
      <c r="D106" s="26"/>
      <c r="E106" s="26" t="s">
        <v>153</v>
      </c>
      <c r="F106" s="26"/>
      <c r="G106" s="26"/>
      <c r="H106" s="26" t="s">
        <v>101</v>
      </c>
      <c r="I106" s="26"/>
    </row>
    <row r="107" spans="1:9" s="33" customFormat="1" hidden="1" x14ac:dyDescent="0.2">
      <c r="A107" s="26" t="s">
        <v>4</v>
      </c>
      <c r="B107" s="26"/>
      <c r="C107" s="26"/>
      <c r="D107" s="26"/>
      <c r="E107" s="26" t="s">
        <v>154</v>
      </c>
      <c r="F107" s="26"/>
      <c r="G107" s="26"/>
      <c r="H107" s="26" t="s">
        <v>72</v>
      </c>
      <c r="I107" s="26"/>
    </row>
    <row r="108" spans="1:9" s="33" customFormat="1" hidden="1" x14ac:dyDescent="0.2"/>
    <row r="109" spans="1:9" s="33" customFormat="1" hidden="1" x14ac:dyDescent="0.2">
      <c r="A109" s="37" t="s">
        <v>155</v>
      </c>
    </row>
    <row r="110" spans="1:9" s="33" customFormat="1" hidden="1" x14ac:dyDescent="0.2">
      <c r="A110" s="37"/>
    </row>
    <row r="111" spans="1:9" s="33" customFormat="1" hidden="1" x14ac:dyDescent="0.2">
      <c r="A111" s="26" t="s">
        <v>1</v>
      </c>
      <c r="C111" s="26"/>
      <c r="E111" s="33" t="s">
        <v>156</v>
      </c>
      <c r="H111" s="33" t="s">
        <v>78</v>
      </c>
    </row>
    <row r="112" spans="1:9" s="33" customFormat="1" hidden="1" x14ac:dyDescent="0.2">
      <c r="A112" s="26" t="s">
        <v>1</v>
      </c>
      <c r="C112" s="26"/>
      <c r="E112" s="33" t="s">
        <v>157</v>
      </c>
      <c r="H112" s="33" t="s">
        <v>77</v>
      </c>
    </row>
    <row r="113" spans="1:9" s="33" customFormat="1" ht="13.5" hidden="1" customHeight="1" x14ac:dyDescent="0.2">
      <c r="A113" s="26" t="s">
        <v>1</v>
      </c>
      <c r="B113" s="26"/>
      <c r="C113" s="26"/>
      <c r="D113" s="26"/>
      <c r="E113" s="26" t="s">
        <v>158</v>
      </c>
      <c r="F113" s="26"/>
      <c r="G113" s="26"/>
      <c r="H113" s="26" t="s">
        <v>84</v>
      </c>
      <c r="I113" s="26"/>
    </row>
    <row r="114" spans="1:9" s="33" customFormat="1" hidden="1" x14ac:dyDescent="0.2">
      <c r="A114" s="26" t="s">
        <v>1</v>
      </c>
      <c r="B114" s="26"/>
      <c r="C114" s="26"/>
      <c r="D114" s="26"/>
      <c r="E114" s="26" t="s">
        <v>159</v>
      </c>
      <c r="F114" s="26"/>
      <c r="G114" s="26"/>
      <c r="H114" s="26" t="s">
        <v>85</v>
      </c>
      <c r="I114" s="26"/>
    </row>
    <row r="115" spans="1:9" s="33" customFormat="1" hidden="1" x14ac:dyDescent="0.2">
      <c r="A115" s="26" t="s">
        <v>1</v>
      </c>
      <c r="C115" s="26"/>
      <c r="E115" s="33" t="s">
        <v>160</v>
      </c>
      <c r="H115" s="33" t="s">
        <v>81</v>
      </c>
    </row>
    <row r="116" spans="1:9" s="33" customFormat="1" hidden="1" x14ac:dyDescent="0.2">
      <c r="A116" s="102" t="s">
        <v>1</v>
      </c>
      <c r="B116" s="102"/>
      <c r="C116" s="102"/>
      <c r="D116" s="102"/>
      <c r="E116" s="102" t="s">
        <v>150</v>
      </c>
      <c r="F116" s="102"/>
      <c r="G116" s="102"/>
      <c r="H116" s="102" t="s">
        <v>111</v>
      </c>
      <c r="I116" s="102"/>
    </row>
    <row r="117" spans="1:9" s="33" customFormat="1" hidden="1" x14ac:dyDescent="0.2">
      <c r="A117" s="102" t="s">
        <v>1</v>
      </c>
      <c r="B117" s="102"/>
      <c r="C117" s="102"/>
      <c r="D117" s="102"/>
      <c r="E117" s="102" t="s">
        <v>161</v>
      </c>
      <c r="F117" s="102"/>
      <c r="G117" s="102"/>
      <c r="H117" s="102" t="s">
        <v>83</v>
      </c>
      <c r="I117" s="102"/>
    </row>
    <row r="118" spans="1:9" s="33" customFormat="1" hidden="1" x14ac:dyDescent="0.2">
      <c r="A118" s="26" t="s">
        <v>2</v>
      </c>
      <c r="B118" s="26"/>
      <c r="C118" s="26"/>
      <c r="D118" s="26"/>
      <c r="E118" s="26" t="s">
        <v>162</v>
      </c>
      <c r="F118" s="26"/>
      <c r="G118" s="26"/>
      <c r="H118" s="26" t="s">
        <v>79</v>
      </c>
      <c r="I118" s="26"/>
    </row>
    <row r="119" spans="1:9" hidden="1" x14ac:dyDescent="0.2">
      <c r="A119" s="26" t="s">
        <v>2</v>
      </c>
      <c r="B119" s="26"/>
      <c r="C119" s="26"/>
      <c r="D119" s="26"/>
      <c r="E119" s="26" t="s">
        <v>163</v>
      </c>
      <c r="F119" s="26"/>
      <c r="G119" s="26"/>
      <c r="H119" s="26" t="s">
        <v>81</v>
      </c>
      <c r="I119" s="26"/>
    </row>
    <row r="120" spans="1:9" hidden="1" x14ac:dyDescent="0.2">
      <c r="A120" s="33" t="s">
        <v>2</v>
      </c>
      <c r="B120" s="33"/>
      <c r="C120" s="33"/>
      <c r="D120" s="33"/>
      <c r="E120" s="33" t="s">
        <v>164</v>
      </c>
      <c r="F120" s="33"/>
      <c r="G120" s="33"/>
      <c r="H120" s="33" t="s">
        <v>118</v>
      </c>
      <c r="I120" s="33"/>
    </row>
    <row r="121" spans="1:9" hidden="1" x14ac:dyDescent="0.2">
      <c r="A121" s="102" t="s">
        <v>2</v>
      </c>
      <c r="B121" s="102"/>
      <c r="C121" s="102"/>
      <c r="D121" s="102"/>
      <c r="E121" s="102" t="s">
        <v>165</v>
      </c>
      <c r="F121" s="102"/>
      <c r="G121" s="102"/>
      <c r="H121" s="102" t="s">
        <v>80</v>
      </c>
      <c r="I121" s="102"/>
    </row>
    <row r="122" spans="1:9" hidden="1" x14ac:dyDescent="0.2">
      <c r="A122" s="26" t="s">
        <v>4</v>
      </c>
      <c r="B122" s="33" t="s">
        <v>102</v>
      </c>
      <c r="C122" s="26"/>
      <c r="D122" s="33"/>
      <c r="E122" s="33" t="s">
        <v>166</v>
      </c>
      <c r="F122" s="33"/>
      <c r="G122" s="33"/>
      <c r="H122" s="33" t="s">
        <v>76</v>
      </c>
      <c r="I122" s="33"/>
    </row>
    <row r="123" spans="1:9" s="33" customFormat="1" hidden="1" x14ac:dyDescent="0.2">
      <c r="A123" s="37"/>
    </row>
    <row r="124" spans="1:9" s="33" customFormat="1" ht="12" hidden="1" customHeight="1" x14ac:dyDescent="0.2">
      <c r="A124" s="37"/>
    </row>
    <row r="125" spans="1:9" hidden="1" x14ac:dyDescent="0.2">
      <c r="I125" s="26"/>
    </row>
    <row r="126" spans="1:9" hidden="1" x14ac:dyDescent="0.2">
      <c r="I126" s="26"/>
    </row>
    <row r="127" spans="1:9" hidden="1" x14ac:dyDescent="0.2">
      <c r="I127" s="26"/>
    </row>
    <row r="128" spans="1:9" ht="13.5" hidden="1" customHeight="1" x14ac:dyDescent="0.2"/>
    <row r="129" spans="1:9" hidden="1" x14ac:dyDescent="0.2">
      <c r="A129" s="36" t="s">
        <v>106</v>
      </c>
    </row>
    <row r="130" spans="1:9" hidden="1" x14ac:dyDescent="0.2">
      <c r="A130" s="35" t="s">
        <v>103</v>
      </c>
      <c r="D130" s="71" t="s">
        <v>167</v>
      </c>
    </row>
    <row r="131" spans="1:9" hidden="1" x14ac:dyDescent="0.2">
      <c r="A131" s="35" t="s">
        <v>65</v>
      </c>
      <c r="D131" s="71" t="s">
        <v>168</v>
      </c>
    </row>
    <row r="132" spans="1:9" hidden="1" x14ac:dyDescent="0.2">
      <c r="A132" s="103" t="s">
        <v>64</v>
      </c>
      <c r="B132" s="103"/>
      <c r="C132" s="103"/>
      <c r="D132" s="103" t="s">
        <v>169</v>
      </c>
      <c r="E132" s="103"/>
      <c r="F132" s="103"/>
      <c r="G132" s="103"/>
      <c r="H132" s="103"/>
      <c r="I132" s="103"/>
    </row>
    <row r="133" spans="1:9" hidden="1" x14ac:dyDescent="0.2">
      <c r="A133" s="103" t="s">
        <v>86</v>
      </c>
      <c r="B133" s="103"/>
      <c r="C133" s="103"/>
      <c r="D133" s="103" t="s">
        <v>170</v>
      </c>
      <c r="E133" s="103"/>
      <c r="F133" s="103"/>
      <c r="G133" s="103"/>
      <c r="H133" s="103"/>
      <c r="I133" s="103"/>
    </row>
    <row r="134" spans="1:9" hidden="1" x14ac:dyDescent="0.2">
      <c r="A134" s="35" t="s">
        <v>87</v>
      </c>
      <c r="D134" s="71" t="s">
        <v>171</v>
      </c>
    </row>
    <row r="135" spans="1:9" hidden="1" x14ac:dyDescent="0.2">
      <c r="A135" s="103" t="s">
        <v>88</v>
      </c>
      <c r="B135" s="103"/>
      <c r="C135" s="103"/>
      <c r="D135" s="103" t="s">
        <v>172</v>
      </c>
      <c r="E135" s="103"/>
      <c r="F135" s="103"/>
      <c r="G135" s="103"/>
      <c r="H135" s="103"/>
      <c r="I135" s="103"/>
    </row>
    <row r="136" spans="1:9" hidden="1" x14ac:dyDescent="0.2">
      <c r="A136" s="103" t="s">
        <v>66</v>
      </c>
      <c r="B136" s="103"/>
      <c r="C136" s="103"/>
      <c r="D136" s="103" t="s">
        <v>173</v>
      </c>
      <c r="E136" s="103"/>
      <c r="F136" s="103"/>
      <c r="G136" s="103"/>
      <c r="H136" s="103"/>
      <c r="I136" s="103"/>
    </row>
    <row r="137" spans="1:9" hidden="1" x14ac:dyDescent="0.2"/>
    <row r="138" spans="1:9" hidden="1" x14ac:dyDescent="0.2"/>
    <row r="139" spans="1:9" hidden="1" x14ac:dyDescent="0.2"/>
    <row r="140" spans="1:9" hidden="1" x14ac:dyDescent="0.2">
      <c r="A140" s="33" t="s">
        <v>105</v>
      </c>
      <c r="B140" s="33"/>
      <c r="C140" s="33"/>
      <c r="D140" s="33"/>
      <c r="E140" s="33"/>
      <c r="F140" s="33"/>
      <c r="G140" s="33"/>
      <c r="H140" s="71" t="e">
        <f>#REF!+#REF!+#REF!+#REF!+#REF!</f>
        <v>#REF!</v>
      </c>
      <c r="I140" s="33"/>
    </row>
    <row r="141" spans="1:9" hidden="1" x14ac:dyDescent="0.2"/>
    <row r="142" spans="1:9" hidden="1" x14ac:dyDescent="0.2"/>
    <row r="143" spans="1:9" x14ac:dyDescent="0.2">
      <c r="B143" s="71" t="s">
        <v>266</v>
      </c>
    </row>
  </sheetData>
  <mergeCells count="9">
    <mergeCell ref="J1:Q1"/>
    <mergeCell ref="J2:Q2"/>
    <mergeCell ref="A1:I1"/>
    <mergeCell ref="B27:I27"/>
    <mergeCell ref="A25:I25"/>
    <mergeCell ref="A26:I26"/>
    <mergeCell ref="J3:Q3"/>
    <mergeCell ref="B3:I3"/>
    <mergeCell ref="A2:I2"/>
  </mergeCells>
  <phoneticPr fontId="2" type="noConversion"/>
  <pageMargins left="0" right="0" top="0.98425196850393704" bottom="0.98425196850393704" header="0" footer="0"/>
  <pageSetup paperSize="9" scale="93" orientation="landscape" r:id="rId1"/>
  <headerFooter alignWithMargins="0">
    <oddHeader>&amp;C&amp;"Arial;Fed"&amp;18Elevtal</oddHeader>
    <oddFooter>&amp;L&amp;D&amp;T
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115"/>
  <sheetViews>
    <sheetView topLeftCell="A13" workbookViewId="0">
      <selection activeCell="G19" sqref="G19"/>
    </sheetView>
  </sheetViews>
  <sheetFormatPr defaultRowHeight="12.75" x14ac:dyDescent="0.2"/>
  <cols>
    <col min="1" max="1" width="46.42578125" customWidth="1"/>
    <col min="2" max="2" width="22.5703125" bestFit="1" customWidth="1"/>
    <col min="3" max="4" width="14" customWidth="1"/>
    <col min="5" max="5" width="13.28515625" customWidth="1"/>
    <col min="6" max="6" width="63.28515625" bestFit="1" customWidth="1"/>
    <col min="7" max="7" width="12.7109375" bestFit="1" customWidth="1"/>
    <col min="8" max="8" width="8.28515625" bestFit="1" customWidth="1"/>
    <col min="9" max="9" width="10.85546875" bestFit="1" customWidth="1"/>
  </cols>
  <sheetData>
    <row r="2" spans="1:9" ht="18" x14ac:dyDescent="0.25">
      <c r="A2" s="257" t="s">
        <v>300</v>
      </c>
      <c r="B2" s="257"/>
      <c r="C2" s="249"/>
      <c r="D2" s="249"/>
      <c r="E2" s="249"/>
      <c r="F2" s="249"/>
      <c r="G2" s="249"/>
      <c r="H2" s="249"/>
      <c r="I2" s="249"/>
    </row>
    <row r="4" spans="1:9" ht="15.75" thickBot="1" x14ac:dyDescent="0.3">
      <c r="A4" s="133" t="s">
        <v>300</v>
      </c>
    </row>
    <row r="5" spans="1:9" x14ac:dyDescent="0.2">
      <c r="A5" s="22" t="s">
        <v>246</v>
      </c>
      <c r="B5" s="233">
        <v>1.89</v>
      </c>
      <c r="D5" t="s">
        <v>325</v>
      </c>
    </row>
    <row r="6" spans="1:9" x14ac:dyDescent="0.2">
      <c r="A6" s="22" t="s">
        <v>247</v>
      </c>
      <c r="B6" s="233">
        <v>1.0900000000000001</v>
      </c>
      <c r="D6" t="s">
        <v>325</v>
      </c>
    </row>
    <row r="8" spans="1:9" ht="15.75" thickBot="1" x14ac:dyDescent="0.3">
      <c r="A8" s="133" t="s">
        <v>303</v>
      </c>
    </row>
    <row r="9" spans="1:9" ht="25.5" x14ac:dyDescent="0.2">
      <c r="A9" s="258" t="s">
        <v>301</v>
      </c>
      <c r="B9" s="259"/>
      <c r="C9" s="367" t="s">
        <v>302</v>
      </c>
      <c r="D9" s="259"/>
    </row>
    <row r="10" spans="1:9" x14ac:dyDescent="0.2">
      <c r="A10" s="51" t="s">
        <v>206</v>
      </c>
      <c r="B10" s="160">
        <v>724882.41399999999</v>
      </c>
      <c r="C10" s="368">
        <f>$B$5</f>
        <v>1.89</v>
      </c>
      <c r="D10" s="56">
        <f>B10*(1+C10/100)</f>
        <v>738582.69162459997</v>
      </c>
    </row>
    <row r="11" spans="1:9" x14ac:dyDescent="0.2">
      <c r="A11" s="51" t="s">
        <v>205</v>
      </c>
      <c r="B11" s="160">
        <v>432090.77049999998</v>
      </c>
      <c r="C11" s="368">
        <f>$B$5</f>
        <v>1.89</v>
      </c>
      <c r="D11" s="56">
        <f>B11*(1+C11/100)</f>
        <v>440257.28606244997</v>
      </c>
    </row>
    <row r="12" spans="1:9" x14ac:dyDescent="0.2">
      <c r="A12" s="51" t="s">
        <v>216</v>
      </c>
      <c r="B12" s="160">
        <v>501839.951</v>
      </c>
      <c r="C12" s="368">
        <f>$B$5</f>
        <v>1.89</v>
      </c>
      <c r="D12" s="56">
        <f>B12*(1+C12/100)</f>
        <v>511324.72607389995</v>
      </c>
    </row>
    <row r="13" spans="1:9" ht="13.5" thickBot="1" x14ac:dyDescent="0.25">
      <c r="A13" s="52" t="s">
        <v>204</v>
      </c>
      <c r="B13" s="161">
        <v>55760.107499999998</v>
      </c>
      <c r="C13" s="369">
        <f>$B$5</f>
        <v>1.89</v>
      </c>
      <c r="D13" s="60">
        <f>B13*(1+C13/100)</f>
        <v>56813.973531749994</v>
      </c>
    </row>
    <row r="15" spans="1:9" ht="15.75" thickBot="1" x14ac:dyDescent="0.3">
      <c r="A15" s="133" t="s">
        <v>178</v>
      </c>
      <c r="F15" s="133" t="s">
        <v>307</v>
      </c>
    </row>
    <row r="16" spans="1:9" x14ac:dyDescent="0.2">
      <c r="A16" s="260" t="s">
        <v>359</v>
      </c>
      <c r="B16" s="261"/>
      <c r="C16" s="262"/>
      <c r="D16" s="263"/>
      <c r="F16" s="260" t="str">
        <f>$A$16</f>
        <v>Fremskrivning fra 2021 til 2022</v>
      </c>
      <c r="G16" s="261"/>
      <c r="H16" s="262"/>
      <c r="I16" s="263"/>
    </row>
    <row r="17" spans="1:9" x14ac:dyDescent="0.2">
      <c r="A17" s="128"/>
      <c r="B17" s="182" t="s">
        <v>335</v>
      </c>
      <c r="C17" s="130" t="s">
        <v>240</v>
      </c>
      <c r="D17" s="131" t="s">
        <v>241</v>
      </c>
      <c r="F17" s="128"/>
      <c r="G17" s="35" t="str">
        <f>$B$17</f>
        <v>Takst 2021/22</v>
      </c>
      <c r="H17" s="130" t="s">
        <v>240</v>
      </c>
      <c r="I17" s="131" t="s">
        <v>241</v>
      </c>
    </row>
    <row r="18" spans="1:9" x14ac:dyDescent="0.2">
      <c r="A18" s="128"/>
      <c r="B18" s="126"/>
      <c r="C18" s="126"/>
      <c r="D18" s="127"/>
      <c r="F18" s="128"/>
      <c r="G18" s="126"/>
      <c r="H18" s="126"/>
      <c r="I18" s="127"/>
    </row>
    <row r="19" spans="1:9" x14ac:dyDescent="0.2">
      <c r="A19" s="34" t="s">
        <v>273</v>
      </c>
      <c r="B19" s="84">
        <v>780071.93815199996</v>
      </c>
      <c r="C19" s="126">
        <f>B19*0.92</f>
        <v>717666.18309983995</v>
      </c>
      <c r="D19" s="127">
        <f>B19*0.08</f>
        <v>62405.755052159999</v>
      </c>
      <c r="F19" s="34" t="s">
        <v>304</v>
      </c>
      <c r="G19" s="84">
        <v>40371.447636000004</v>
      </c>
      <c r="H19" s="126">
        <f>G19*0.92</f>
        <v>37141.731825120005</v>
      </c>
      <c r="I19" s="127">
        <f>G19*0.08</f>
        <v>3229.7158108800004</v>
      </c>
    </row>
    <row r="20" spans="1:9" x14ac:dyDescent="0.2">
      <c r="A20" s="128"/>
      <c r="B20" s="126"/>
      <c r="C20" s="126"/>
      <c r="D20" s="127"/>
      <c r="F20" s="128"/>
      <c r="G20" s="126"/>
      <c r="H20" s="126"/>
      <c r="I20" s="127"/>
    </row>
    <row r="21" spans="1:9" x14ac:dyDescent="0.2">
      <c r="A21" s="34" t="s">
        <v>242</v>
      </c>
      <c r="B21" s="126"/>
      <c r="C21" s="220">
        <f>$B$5</f>
        <v>1.89</v>
      </c>
      <c r="D21" s="129">
        <f>$B$6</f>
        <v>1.0900000000000001</v>
      </c>
      <c r="F21" s="34" t="s">
        <v>242</v>
      </c>
      <c r="G21" s="126"/>
      <c r="H21" s="220">
        <f>$B$5</f>
        <v>1.89</v>
      </c>
      <c r="I21" s="129">
        <f>$B$6</f>
        <v>1.0900000000000001</v>
      </c>
    </row>
    <row r="22" spans="1:9" x14ac:dyDescent="0.2">
      <c r="A22" s="128"/>
      <c r="B22" s="126"/>
      <c r="C22" s="126"/>
      <c r="D22" s="127"/>
      <c r="F22" s="128"/>
      <c r="G22" s="126"/>
      <c r="H22" s="126"/>
      <c r="I22" s="127"/>
    </row>
    <row r="23" spans="1:9" x14ac:dyDescent="0.2">
      <c r="A23" s="34" t="s">
        <v>243</v>
      </c>
      <c r="B23" s="126"/>
      <c r="C23" s="126">
        <f>C19/100*C21</f>
        <v>13563.890860586975</v>
      </c>
      <c r="D23" s="127">
        <f>D19/100*D21</f>
        <v>680.22273006854402</v>
      </c>
      <c r="F23" s="34" t="s">
        <v>243</v>
      </c>
      <c r="G23" s="126"/>
      <c r="H23" s="126">
        <f>H19/100*H21</f>
        <v>701.97873149476811</v>
      </c>
      <c r="I23" s="127">
        <f>I19/100*I21</f>
        <v>35.203902338592009</v>
      </c>
    </row>
    <row r="24" spans="1:9" x14ac:dyDescent="0.2">
      <c r="A24" s="128"/>
      <c r="B24" s="126"/>
      <c r="C24" s="126"/>
      <c r="D24" s="127"/>
      <c r="F24" s="128"/>
      <c r="G24" s="126"/>
      <c r="H24" s="126"/>
      <c r="I24" s="127"/>
    </row>
    <row r="25" spans="1:9" ht="13.5" thickBot="1" x14ac:dyDescent="0.25">
      <c r="A25" s="254" t="s">
        <v>361</v>
      </c>
      <c r="B25" s="264">
        <f>B19+C23+D23</f>
        <v>794316.05174265546</v>
      </c>
      <c r="C25" s="265"/>
      <c r="D25" s="266"/>
      <c r="F25" s="254" t="str">
        <f>$A$25</f>
        <v>Ny taktst 2021/22</v>
      </c>
      <c r="G25" s="264">
        <f>G19+H23+I23</f>
        <v>41108.630269833367</v>
      </c>
      <c r="H25" s="265"/>
      <c r="I25" s="266"/>
    </row>
    <row r="28" spans="1:9" ht="15.75" thickBot="1" x14ac:dyDescent="0.3">
      <c r="A28" s="133" t="s">
        <v>334</v>
      </c>
      <c r="B28" s="132"/>
      <c r="C28" s="132"/>
      <c r="D28" s="132"/>
      <c r="F28" s="133" t="s">
        <v>236</v>
      </c>
      <c r="G28" s="132"/>
      <c r="H28" s="132"/>
      <c r="I28" s="132"/>
    </row>
    <row r="29" spans="1:9" x14ac:dyDescent="0.2">
      <c r="A29" s="260" t="str">
        <f>$A$16</f>
        <v>Fremskrivning fra 2021 til 2022</v>
      </c>
      <c r="B29" s="261"/>
      <c r="C29" s="262"/>
      <c r="D29" s="263"/>
      <c r="F29" s="260" t="str">
        <f>$A$16</f>
        <v>Fremskrivning fra 2021 til 2022</v>
      </c>
      <c r="G29" s="261"/>
      <c r="H29" s="262"/>
      <c r="I29" s="263"/>
    </row>
    <row r="30" spans="1:9" x14ac:dyDescent="0.2">
      <c r="A30" s="128"/>
      <c r="B30" s="35" t="str">
        <f>$B$17</f>
        <v>Takst 2021/22</v>
      </c>
      <c r="C30" s="130" t="s">
        <v>240</v>
      </c>
      <c r="D30" s="131" t="s">
        <v>241</v>
      </c>
      <c r="F30" s="128"/>
      <c r="G30" s="35" t="str">
        <f>$B$17</f>
        <v>Takst 2021/22</v>
      </c>
      <c r="H30" s="130" t="s">
        <v>240</v>
      </c>
      <c r="I30" s="131" t="s">
        <v>241</v>
      </c>
    </row>
    <row r="31" spans="1:9" x14ac:dyDescent="0.2">
      <c r="A31" s="128"/>
      <c r="B31" s="126"/>
      <c r="C31" s="126"/>
      <c r="D31" s="127"/>
      <c r="F31" s="128"/>
      <c r="G31" s="126"/>
      <c r="H31" s="126"/>
      <c r="I31" s="127"/>
    </row>
    <row r="32" spans="1:9" x14ac:dyDescent="0.2">
      <c r="A32" s="34" t="s">
        <v>232</v>
      </c>
      <c r="B32" s="84">
        <v>16433.298336</v>
      </c>
      <c r="C32" s="126">
        <f>B32*0.92</f>
        <v>15118.634469120001</v>
      </c>
      <c r="D32" s="127">
        <f>B32*0.08</f>
        <v>1314.6638668800001</v>
      </c>
      <c r="F32" s="34" t="s">
        <v>236</v>
      </c>
      <c r="G32" s="84">
        <v>12899.692416</v>
      </c>
      <c r="H32" s="126">
        <f>G32*0.92</f>
        <v>11867.71702272</v>
      </c>
      <c r="I32" s="127">
        <f>G32*0.08</f>
        <v>1031.9753932799999</v>
      </c>
    </row>
    <row r="33" spans="1:9" x14ac:dyDescent="0.2">
      <c r="A33" s="128"/>
      <c r="B33" s="126"/>
      <c r="C33" s="126"/>
      <c r="D33" s="127"/>
      <c r="F33" s="128"/>
      <c r="G33" s="126"/>
      <c r="H33" s="126"/>
      <c r="I33" s="127"/>
    </row>
    <row r="34" spans="1:9" x14ac:dyDescent="0.2">
      <c r="A34" s="34" t="s">
        <v>242</v>
      </c>
      <c r="B34" s="126"/>
      <c r="C34" s="220">
        <f>$B$5</f>
        <v>1.89</v>
      </c>
      <c r="D34" s="129">
        <f>$B$6</f>
        <v>1.0900000000000001</v>
      </c>
      <c r="F34" s="34" t="s">
        <v>242</v>
      </c>
      <c r="G34" s="126"/>
      <c r="H34" s="220">
        <f>$B$5</f>
        <v>1.89</v>
      </c>
      <c r="I34" s="129">
        <f>$B$6</f>
        <v>1.0900000000000001</v>
      </c>
    </row>
    <row r="35" spans="1:9" x14ac:dyDescent="0.2">
      <c r="A35" s="128"/>
      <c r="B35" s="126"/>
      <c r="C35" s="126"/>
      <c r="D35" s="127"/>
      <c r="F35" s="128"/>
      <c r="G35" s="126"/>
      <c r="H35" s="126"/>
      <c r="I35" s="127"/>
    </row>
    <row r="36" spans="1:9" x14ac:dyDescent="0.2">
      <c r="A36" s="34" t="s">
        <v>243</v>
      </c>
      <c r="B36" s="126"/>
      <c r="C36" s="126">
        <f>C32/100*C34</f>
        <v>285.74219146636801</v>
      </c>
      <c r="D36" s="127">
        <f>D32/100*D34</f>
        <v>14.329836148992003</v>
      </c>
      <c r="F36" s="34" t="s">
        <v>243</v>
      </c>
      <c r="G36" s="126"/>
      <c r="H36" s="126">
        <f>H32/100*H34</f>
        <v>224.299851729408</v>
      </c>
      <c r="I36" s="127">
        <f>I32/100*I34</f>
        <v>11.248531786752</v>
      </c>
    </row>
    <row r="37" spans="1:9" x14ac:dyDescent="0.2">
      <c r="A37" s="128"/>
      <c r="B37" s="126"/>
      <c r="C37" s="126"/>
      <c r="D37" s="127"/>
      <c r="F37" s="128"/>
      <c r="G37" s="126"/>
      <c r="H37" s="126"/>
      <c r="I37" s="127"/>
    </row>
    <row r="38" spans="1:9" ht="13.5" thickBot="1" x14ac:dyDescent="0.25">
      <c r="A38" s="254" t="str">
        <f>$A$25</f>
        <v>Ny taktst 2021/22</v>
      </c>
      <c r="B38" s="264">
        <f>B32+C36+D36</f>
        <v>16733.370363615359</v>
      </c>
      <c r="C38" s="265"/>
      <c r="D38" s="266"/>
      <c r="F38" s="254" t="str">
        <f>$A$25</f>
        <v>Ny taktst 2021/22</v>
      </c>
      <c r="G38" s="264">
        <f>G32+H36+I36</f>
        <v>13135.240799516159</v>
      </c>
      <c r="H38" s="265"/>
      <c r="I38" s="266"/>
    </row>
    <row r="41" spans="1:9" ht="13.5" thickBot="1" x14ac:dyDescent="0.25"/>
    <row r="42" spans="1:9" ht="18.75" thickBot="1" x14ac:dyDescent="0.3">
      <c r="A42" s="267" t="s">
        <v>249</v>
      </c>
      <c r="B42" s="268"/>
      <c r="C42" s="252"/>
      <c r="D42" s="252"/>
      <c r="E42" s="253"/>
    </row>
    <row r="43" spans="1:9" ht="12.75" customHeight="1" x14ac:dyDescent="0.2">
      <c r="A43" s="151" t="s">
        <v>359</v>
      </c>
      <c r="B43" s="149" t="s">
        <v>245</v>
      </c>
      <c r="C43" s="148"/>
      <c r="D43" s="150" t="s">
        <v>248</v>
      </c>
      <c r="E43" s="148"/>
    </row>
    <row r="44" spans="1:9" ht="12.75" customHeight="1" x14ac:dyDescent="0.25">
      <c r="A44" s="136"/>
      <c r="B44" s="155" t="s">
        <v>246</v>
      </c>
      <c r="C44" s="220">
        <f>$B$5</f>
        <v>1.89</v>
      </c>
      <c r="D44" s="26" t="s">
        <v>250</v>
      </c>
      <c r="E44" s="83"/>
    </row>
    <row r="45" spans="1:9" ht="12.75" customHeight="1" x14ac:dyDescent="0.2">
      <c r="A45" s="137"/>
      <c r="B45" s="28" t="s">
        <v>247</v>
      </c>
      <c r="C45" s="129">
        <f>$B$6</f>
        <v>1.0900000000000001</v>
      </c>
      <c r="D45" s="134"/>
      <c r="E45" s="138"/>
    </row>
    <row r="46" spans="1:9" ht="12.75" customHeight="1" thickBot="1" x14ac:dyDescent="0.25">
      <c r="A46" s="152"/>
      <c r="B46" s="141"/>
      <c r="C46" s="140"/>
      <c r="D46" s="147"/>
      <c r="E46" s="140"/>
    </row>
    <row r="47" spans="1:9" ht="12.75" customHeight="1" x14ac:dyDescent="0.25">
      <c r="A47" s="269"/>
      <c r="B47" s="270"/>
      <c r="C47" s="253"/>
      <c r="D47" s="271"/>
      <c r="E47" s="272"/>
    </row>
    <row r="48" spans="1:9" ht="15" x14ac:dyDescent="0.25">
      <c r="A48" s="273" t="s">
        <v>231</v>
      </c>
      <c r="B48" s="274"/>
      <c r="C48" s="272"/>
      <c r="D48" s="271"/>
      <c r="E48" s="272"/>
    </row>
    <row r="49" spans="1:7" x14ac:dyDescent="0.2">
      <c r="A49" s="275"/>
      <c r="B49" s="276" t="s">
        <v>333</v>
      </c>
      <c r="C49" s="277" t="s">
        <v>358</v>
      </c>
      <c r="D49" s="278" t="s">
        <v>246</v>
      </c>
      <c r="E49" s="277" t="s">
        <v>247</v>
      </c>
    </row>
    <row r="50" spans="1:7" x14ac:dyDescent="0.2">
      <c r="A50" s="153" t="s">
        <v>185</v>
      </c>
      <c r="B50" s="142">
        <v>2160679.0088</v>
      </c>
      <c r="C50" s="217">
        <f>IF(ISBLANK(D50),IF(ISBLANK(E50),B50,B50*(1+$B$6/100)),B50*(1+$B$5/100))</f>
        <v>2184230.4099959196</v>
      </c>
      <c r="D50" s="163"/>
      <c r="E50" s="164" t="s">
        <v>244</v>
      </c>
    </row>
    <row r="51" spans="1:7" x14ac:dyDescent="0.2">
      <c r="A51" s="153" t="s">
        <v>198</v>
      </c>
      <c r="B51" s="142"/>
      <c r="C51" s="217"/>
      <c r="D51" s="163"/>
      <c r="E51" s="164" t="s">
        <v>244</v>
      </c>
      <c r="F51" s="22" t="s">
        <v>259</v>
      </c>
      <c r="G51" s="29"/>
    </row>
    <row r="52" spans="1:7" x14ac:dyDescent="0.2">
      <c r="A52" s="153" t="s">
        <v>199</v>
      </c>
      <c r="B52" s="142">
        <v>1264562.594</v>
      </c>
      <c r="C52" s="217">
        <f>IF(ISBLANK(D52),IF(ISBLANK(E52),B52,B52*(1+$B$6/100)),B52*(1+$B$5/100))</f>
        <v>1288462.8270266</v>
      </c>
      <c r="D52" s="165" t="s">
        <v>244</v>
      </c>
      <c r="E52" s="166"/>
      <c r="G52" s="29"/>
    </row>
    <row r="53" spans="1:7" x14ac:dyDescent="0.2">
      <c r="A53" s="153" t="s">
        <v>258</v>
      </c>
      <c r="B53" s="142">
        <v>5664446.25</v>
      </c>
      <c r="C53" s="217">
        <f>IF(ISBLANK(D53),IF(ISBLANK(E53),B53,B53*(1+$B$6/100)),B53*(1+$B$5/100))</f>
        <v>5771504.2841249993</v>
      </c>
      <c r="D53" s="165" t="s">
        <v>244</v>
      </c>
      <c r="E53" s="166"/>
    </row>
    <row r="54" spans="1:7" x14ac:dyDescent="0.2">
      <c r="A54" s="153"/>
      <c r="B54" s="142"/>
      <c r="C54" s="217">
        <f>IF(ISBLANK(D54),IF(ISBLANK(E54),B54,B54*(1+$B$6/100)),B54*(1+$B$5/100))</f>
        <v>0</v>
      </c>
      <c r="D54" s="165"/>
      <c r="E54" s="166"/>
    </row>
    <row r="55" spans="1:7" x14ac:dyDescent="0.2">
      <c r="A55" s="153"/>
      <c r="B55" s="142"/>
      <c r="C55" s="217">
        <f>IF(ISBLANK(D55),IF(ISBLANK(E55),B55,B55*(1+$B$6/100)),B55*(1+$B$5/100))</f>
        <v>0</v>
      </c>
      <c r="D55" s="165"/>
      <c r="E55" s="166"/>
    </row>
    <row r="56" spans="1:7" x14ac:dyDescent="0.2">
      <c r="A56" s="153"/>
      <c r="B56" s="142"/>
      <c r="C56" s="217">
        <f>IF(ISBLANK(D56),IF(ISBLANK(E56),B56,B56*(1+$B$6/100)),B56*(1+$B$5/100))</f>
        <v>0</v>
      </c>
      <c r="D56" s="165"/>
      <c r="E56" s="166"/>
    </row>
    <row r="57" spans="1:7" x14ac:dyDescent="0.2">
      <c r="A57" s="137"/>
      <c r="B57" s="139"/>
      <c r="C57" s="144"/>
      <c r="D57" s="134"/>
      <c r="E57" s="138"/>
    </row>
    <row r="58" spans="1:7" ht="30" x14ac:dyDescent="0.25">
      <c r="A58" s="279" t="s">
        <v>189</v>
      </c>
      <c r="B58" s="280"/>
      <c r="C58" s="281"/>
      <c r="D58" s="271"/>
      <c r="E58" s="272"/>
    </row>
    <row r="59" spans="1:7" x14ac:dyDescent="0.2">
      <c r="A59" s="275"/>
      <c r="B59" s="280"/>
      <c r="C59" s="281"/>
      <c r="D59" s="271"/>
      <c r="E59" s="272"/>
    </row>
    <row r="60" spans="1:7" x14ac:dyDescent="0.2">
      <c r="A60" s="282" t="s">
        <v>191</v>
      </c>
      <c r="B60" s="276" t="s">
        <v>326</v>
      </c>
      <c r="C60" s="277" t="s">
        <v>333</v>
      </c>
      <c r="D60" s="278" t="s">
        <v>246</v>
      </c>
      <c r="E60" s="277" t="s">
        <v>247</v>
      </c>
    </row>
    <row r="61" spans="1:7" x14ac:dyDescent="0.2">
      <c r="A61" s="153" t="s">
        <v>190</v>
      </c>
      <c r="B61" s="216">
        <v>-83287.553999999989</v>
      </c>
      <c r="C61" s="217">
        <f>IF(ISBLANK(D61),IF(ISBLANK(E61),B61,B61*(1+$B$6/100)),B61*(1+$B$5/100))</f>
        <v>-84195.38833859998</v>
      </c>
      <c r="D61" s="163"/>
      <c r="E61" s="164" t="s">
        <v>244</v>
      </c>
    </row>
    <row r="62" spans="1:7" x14ac:dyDescent="0.2">
      <c r="A62" s="153" t="s">
        <v>183</v>
      </c>
      <c r="B62" s="216">
        <v>-1013337.4223999999</v>
      </c>
      <c r="C62" s="217">
        <f t="shared" ref="C62:C88" si="0">IF(ISBLANK(D62),IF(ISBLANK(E62),B62,B62*(1+$B$6/100)),B62*(1+$B$5/100))</f>
        <v>-1024382.8003041599</v>
      </c>
      <c r="D62" s="163"/>
      <c r="E62" s="164" t="s">
        <v>244</v>
      </c>
    </row>
    <row r="63" spans="1:7" x14ac:dyDescent="0.2">
      <c r="A63" s="153" t="s">
        <v>180</v>
      </c>
      <c r="B63" s="216">
        <v>-95609.960399999996</v>
      </c>
      <c r="C63" s="217">
        <f t="shared" si="0"/>
        <v>-96652.108968359986</v>
      </c>
      <c r="D63" s="163"/>
      <c r="E63" s="164" t="s">
        <v>244</v>
      </c>
    </row>
    <row r="64" spans="1:7" x14ac:dyDescent="0.2">
      <c r="A64" s="153" t="s">
        <v>184</v>
      </c>
      <c r="B64" s="216">
        <v>-1208104.1509999998</v>
      </c>
      <c r="C64" s="217">
        <f t="shared" si="0"/>
        <v>-1230937.3194538997</v>
      </c>
      <c r="D64" s="163" t="s">
        <v>244</v>
      </c>
      <c r="E64" s="164"/>
    </row>
    <row r="65" spans="1:6" x14ac:dyDescent="0.2">
      <c r="A65" s="153" t="s">
        <v>181</v>
      </c>
      <c r="B65" s="216">
        <v>-105345.14279999999</v>
      </c>
      <c r="C65" s="217">
        <f t="shared" si="0"/>
        <v>-106493.40485651998</v>
      </c>
      <c r="D65" s="163"/>
      <c r="E65" s="164" t="s">
        <v>244</v>
      </c>
    </row>
    <row r="66" spans="1:6" x14ac:dyDescent="0.2">
      <c r="A66" s="153" t="s">
        <v>188</v>
      </c>
      <c r="B66" s="216">
        <v>-96974.771199999988</v>
      </c>
      <c r="C66" s="217">
        <f t="shared" si="0"/>
        <v>-98031.796206079976</v>
      </c>
      <c r="D66" s="163"/>
      <c r="E66" s="164" t="s">
        <v>244</v>
      </c>
    </row>
    <row r="67" spans="1:6" x14ac:dyDescent="0.2">
      <c r="A67" s="153" t="s">
        <v>182</v>
      </c>
      <c r="B67" s="216">
        <v>-2858210.6439999999</v>
      </c>
      <c r="C67" s="217">
        <f t="shared" si="0"/>
        <v>-2889365.1400195998</v>
      </c>
      <c r="D67" s="163"/>
      <c r="E67" s="164" t="s">
        <v>244</v>
      </c>
    </row>
    <row r="68" spans="1:6" x14ac:dyDescent="0.2">
      <c r="A68" s="153" t="s">
        <v>251</v>
      </c>
      <c r="B68" s="216">
        <v>-1643710.9949999999</v>
      </c>
      <c r="C68" s="217">
        <f t="shared" si="0"/>
        <v>-1674777.1328054997</v>
      </c>
      <c r="D68" s="165" t="s">
        <v>244</v>
      </c>
      <c r="E68" s="164"/>
    </row>
    <row r="69" spans="1:6" x14ac:dyDescent="0.2">
      <c r="A69" s="153" t="s">
        <v>253</v>
      </c>
      <c r="B69" s="216">
        <v>-374009.30199999997</v>
      </c>
      <c r="C69" s="217">
        <f t="shared" si="0"/>
        <v>-378086.00339179992</v>
      </c>
      <c r="D69" s="165"/>
      <c r="E69" s="164" t="s">
        <v>244</v>
      </c>
    </row>
    <row r="70" spans="1:6" x14ac:dyDescent="0.2">
      <c r="A70" s="153" t="s">
        <v>254</v>
      </c>
      <c r="B70" s="216">
        <v>-6459.0347999999994</v>
      </c>
      <c r="C70" s="217">
        <f t="shared" si="0"/>
        <v>-6529.4382793199993</v>
      </c>
      <c r="D70" s="165"/>
      <c r="E70" s="164" t="s">
        <v>244</v>
      </c>
    </row>
    <row r="71" spans="1:6" x14ac:dyDescent="0.2">
      <c r="A71" s="153" t="s">
        <v>255</v>
      </c>
      <c r="B71" s="216">
        <v>-47062.406799999997</v>
      </c>
      <c r="C71" s="217">
        <f t="shared" si="0"/>
        <v>-47575.387034119994</v>
      </c>
      <c r="D71" s="165"/>
      <c r="E71" s="164" t="s">
        <v>244</v>
      </c>
    </row>
    <row r="72" spans="1:6" x14ac:dyDescent="0.2">
      <c r="A72" s="153" t="s">
        <v>256</v>
      </c>
      <c r="B72" s="216">
        <v>-15789.085999999999</v>
      </c>
      <c r="C72" s="217">
        <f t="shared" si="0"/>
        <v>-15961.187037399997</v>
      </c>
      <c r="D72" s="165"/>
      <c r="E72" s="164" t="s">
        <v>244</v>
      </c>
    </row>
    <row r="73" spans="1:6" x14ac:dyDescent="0.2">
      <c r="A73" s="153" t="s">
        <v>257</v>
      </c>
      <c r="B73" s="216">
        <v>-238757.55299999999</v>
      </c>
      <c r="C73" s="217">
        <f t="shared" si="0"/>
        <v>-243270.07075169997</v>
      </c>
      <c r="D73" s="165" t="s">
        <v>244</v>
      </c>
      <c r="E73" s="164"/>
    </row>
    <row r="74" spans="1:6" x14ac:dyDescent="0.2">
      <c r="A74" s="153" t="s">
        <v>260</v>
      </c>
      <c r="B74" s="216">
        <v>0</v>
      </c>
      <c r="C74" s="217">
        <f t="shared" si="0"/>
        <v>0</v>
      </c>
      <c r="D74" s="165" t="s">
        <v>244</v>
      </c>
      <c r="E74" s="164"/>
    </row>
    <row r="75" spans="1:6" x14ac:dyDescent="0.2">
      <c r="A75" s="153" t="s">
        <v>263</v>
      </c>
      <c r="B75" s="216">
        <v>-167301.13519999999</v>
      </c>
      <c r="C75" s="217">
        <f t="shared" si="0"/>
        <v>-169124.71757367998</v>
      </c>
      <c r="D75" s="165"/>
      <c r="E75" s="164" t="s">
        <v>244</v>
      </c>
    </row>
    <row r="76" spans="1:6" x14ac:dyDescent="0.2">
      <c r="A76" s="153" t="s">
        <v>264</v>
      </c>
      <c r="B76" s="216">
        <v>-49909.355999999992</v>
      </c>
      <c r="C76" s="217">
        <f t="shared" si="0"/>
        <v>-50453.367980399991</v>
      </c>
      <c r="D76" s="165"/>
      <c r="E76" s="164" t="s">
        <v>244</v>
      </c>
    </row>
    <row r="77" spans="1:6" x14ac:dyDescent="0.2">
      <c r="A77" s="153" t="s">
        <v>328</v>
      </c>
      <c r="B77" s="216">
        <v>-15814.155999999999</v>
      </c>
      <c r="C77" s="217">
        <f t="shared" si="0"/>
        <v>-15986.530300399998</v>
      </c>
      <c r="D77" s="165"/>
      <c r="E77" s="164" t="s">
        <v>244</v>
      </c>
      <c r="F77" s="22" t="s">
        <v>332</v>
      </c>
    </row>
    <row r="78" spans="1:6" x14ac:dyDescent="0.2">
      <c r="A78" s="153" t="s">
        <v>268</v>
      </c>
      <c r="B78" s="216"/>
      <c r="C78" s="217"/>
      <c r="D78" s="165"/>
      <c r="E78" s="164" t="s">
        <v>244</v>
      </c>
      <c r="F78" s="22" t="s">
        <v>329</v>
      </c>
    </row>
    <row r="79" spans="1:6" x14ac:dyDescent="0.2">
      <c r="A79" s="153" t="s">
        <v>265</v>
      </c>
      <c r="B79" s="216">
        <v>-55114.63</v>
      </c>
      <c r="C79" s="217">
        <f t="shared" si="0"/>
        <v>-56156.296506999992</v>
      </c>
      <c r="D79" s="165" t="s">
        <v>244</v>
      </c>
      <c r="E79" s="164"/>
      <c r="F79" t="s">
        <v>327</v>
      </c>
    </row>
    <row r="80" spans="1:6" x14ac:dyDescent="0.2">
      <c r="A80" s="153" t="s">
        <v>321</v>
      </c>
      <c r="B80" s="216">
        <v>-209703.94999999998</v>
      </c>
      <c r="C80" s="217">
        <f t="shared" si="0"/>
        <v>-213667.35465499997</v>
      </c>
      <c r="D80" s="165" t="s">
        <v>244</v>
      </c>
      <c r="E80" s="164"/>
    </row>
    <row r="81" spans="1:6" x14ac:dyDescent="0.2">
      <c r="A81" s="153" t="s">
        <v>322</v>
      </c>
      <c r="B81" s="216">
        <v>-105094.44279999999</v>
      </c>
      <c r="C81" s="217">
        <f t="shared" si="0"/>
        <v>-106239.97222651998</v>
      </c>
      <c r="D81" s="165"/>
      <c r="E81" s="164" t="s">
        <v>244</v>
      </c>
    </row>
    <row r="82" spans="1:6" x14ac:dyDescent="0.2">
      <c r="A82" s="153" t="s">
        <v>323</v>
      </c>
      <c r="B82" s="216">
        <v>-309602.46639999998</v>
      </c>
      <c r="C82" s="217">
        <f t="shared" si="0"/>
        <v>-312977.13328375993</v>
      </c>
      <c r="D82" s="165"/>
      <c r="E82" s="164" t="s">
        <v>244</v>
      </c>
    </row>
    <row r="83" spans="1:6" x14ac:dyDescent="0.2">
      <c r="A83" s="153" t="s">
        <v>344</v>
      </c>
      <c r="B83" s="216">
        <v>-12033.599999999999</v>
      </c>
      <c r="C83" s="217">
        <f t="shared" si="0"/>
        <v>-12164.766239999997</v>
      </c>
      <c r="D83" s="165"/>
      <c r="E83" s="164" t="s">
        <v>244</v>
      </c>
    </row>
    <row r="84" spans="1:6" x14ac:dyDescent="0.2">
      <c r="A84" s="153" t="s">
        <v>345</v>
      </c>
      <c r="B84" s="348">
        <v>-207292.79919999998</v>
      </c>
      <c r="C84" s="217">
        <f t="shared" si="0"/>
        <v>-209552.29071127996</v>
      </c>
      <c r="D84" s="165"/>
      <c r="E84" s="164" t="s">
        <v>244</v>
      </c>
    </row>
    <row r="85" spans="1:6" x14ac:dyDescent="0.2">
      <c r="A85" s="153" t="s">
        <v>346</v>
      </c>
      <c r="B85" s="348">
        <v>-13306.153199999999</v>
      </c>
      <c r="C85" s="217">
        <f t="shared" si="0"/>
        <v>-13451.190269879997</v>
      </c>
      <c r="D85" s="165"/>
      <c r="E85" s="164" t="s">
        <v>244</v>
      </c>
    </row>
    <row r="86" spans="1:6" x14ac:dyDescent="0.2">
      <c r="A86" s="153" t="s">
        <v>347</v>
      </c>
      <c r="B86" s="348">
        <v>-32396.456799999996</v>
      </c>
      <c r="C86" s="217">
        <f t="shared" si="0"/>
        <v>-32749.578179119992</v>
      </c>
      <c r="D86" s="165"/>
      <c r="E86" s="164" t="s">
        <v>244</v>
      </c>
      <c r="F86" s="349" t="s">
        <v>354</v>
      </c>
    </row>
    <row r="87" spans="1:6" x14ac:dyDescent="0.2">
      <c r="A87" s="153"/>
      <c r="B87" s="216"/>
      <c r="C87" s="217">
        <f t="shared" si="0"/>
        <v>0</v>
      </c>
      <c r="D87" s="165"/>
      <c r="E87" s="164"/>
    </row>
    <row r="88" spans="1:6" x14ac:dyDescent="0.2">
      <c r="A88" s="153"/>
      <c r="B88" s="216"/>
      <c r="C88" s="217">
        <f t="shared" si="0"/>
        <v>0</v>
      </c>
      <c r="D88" s="165"/>
      <c r="E88" s="164"/>
    </row>
    <row r="89" spans="1:6" x14ac:dyDescent="0.2">
      <c r="A89" s="137"/>
      <c r="B89" s="139"/>
      <c r="C89" s="144"/>
      <c r="D89" s="33"/>
      <c r="E89" s="54"/>
    </row>
    <row r="90" spans="1:6" x14ac:dyDescent="0.2">
      <c r="A90" s="137"/>
      <c r="B90" s="139"/>
      <c r="C90" s="144"/>
      <c r="D90" s="134"/>
      <c r="E90" s="138"/>
    </row>
    <row r="91" spans="1:6" x14ac:dyDescent="0.2">
      <c r="A91" s="282" t="s">
        <v>192</v>
      </c>
      <c r="B91" s="276" t="s">
        <v>326</v>
      </c>
      <c r="C91" s="277" t="s">
        <v>333</v>
      </c>
      <c r="D91" s="278" t="s">
        <v>246</v>
      </c>
      <c r="E91" s="277" t="s">
        <v>247</v>
      </c>
    </row>
    <row r="92" spans="1:6" x14ac:dyDescent="0.2">
      <c r="A92" s="153" t="s">
        <v>179</v>
      </c>
      <c r="B92" s="142">
        <v>167125.81450000001</v>
      </c>
      <c r="C92" s="217">
        <f t="shared" ref="C92:C101" si="1">IF(ISBLANK(D92),IF(ISBLANK(E92),B92,B92*(1+$B$6/100)),B92*(1+$B$5/100))</f>
        <v>170284.49239405</v>
      </c>
      <c r="D92" s="165" t="s">
        <v>244</v>
      </c>
      <c r="E92" s="166"/>
    </row>
    <row r="93" spans="1:6" x14ac:dyDescent="0.2">
      <c r="A93" s="186" t="s">
        <v>281</v>
      </c>
      <c r="B93" s="142">
        <v>1753291.7279999999</v>
      </c>
      <c r="C93" s="217">
        <f t="shared" si="1"/>
        <v>1786428.9416591998</v>
      </c>
      <c r="D93" s="165" t="s">
        <v>244</v>
      </c>
      <c r="E93" s="164"/>
    </row>
    <row r="94" spans="1:6" x14ac:dyDescent="0.2">
      <c r="A94" s="191" t="s">
        <v>282</v>
      </c>
      <c r="B94" s="188"/>
      <c r="C94" s="217">
        <f t="shared" si="1"/>
        <v>0</v>
      </c>
      <c r="D94" s="189"/>
      <c r="E94" s="190"/>
    </row>
    <row r="95" spans="1:6" x14ac:dyDescent="0.2">
      <c r="A95" s="191"/>
      <c r="B95" s="188"/>
      <c r="C95" s="217">
        <f t="shared" si="1"/>
        <v>0</v>
      </c>
      <c r="D95" s="189"/>
      <c r="E95" s="190"/>
    </row>
    <row r="96" spans="1:6" x14ac:dyDescent="0.2">
      <c r="A96" s="191"/>
      <c r="B96" s="188"/>
      <c r="C96" s="217">
        <f t="shared" si="1"/>
        <v>0</v>
      </c>
      <c r="D96" s="189"/>
      <c r="E96" s="190"/>
    </row>
    <row r="97" spans="1:8" x14ac:dyDescent="0.2">
      <c r="A97" s="191"/>
      <c r="B97" s="188"/>
      <c r="C97" s="217">
        <f t="shared" si="1"/>
        <v>0</v>
      </c>
      <c r="D97" s="189"/>
      <c r="E97" s="190"/>
    </row>
    <row r="98" spans="1:8" x14ac:dyDescent="0.2">
      <c r="A98" s="191"/>
      <c r="B98" s="188"/>
      <c r="C98" s="217">
        <f t="shared" si="1"/>
        <v>0</v>
      </c>
      <c r="D98" s="189"/>
      <c r="E98" s="190"/>
    </row>
    <row r="99" spans="1:8" x14ac:dyDescent="0.2">
      <c r="A99" s="191"/>
      <c r="B99" s="188"/>
      <c r="C99" s="217">
        <f t="shared" si="1"/>
        <v>0</v>
      </c>
      <c r="D99" s="189"/>
      <c r="E99" s="190"/>
    </row>
    <row r="100" spans="1:8" x14ac:dyDescent="0.2">
      <c r="A100" s="187"/>
      <c r="B100" s="188"/>
      <c r="C100" s="217">
        <f t="shared" si="1"/>
        <v>0</v>
      </c>
      <c r="D100" s="189"/>
      <c r="E100" s="190"/>
    </row>
    <row r="101" spans="1:8" ht="13.5" thickBot="1" x14ac:dyDescent="0.25">
      <c r="A101" s="154"/>
      <c r="B101" s="145"/>
      <c r="C101" s="217">
        <f t="shared" si="1"/>
        <v>0</v>
      </c>
      <c r="D101" s="167"/>
      <c r="E101" s="168"/>
    </row>
    <row r="102" spans="1:8" ht="13.5" thickBot="1" x14ac:dyDescent="0.25">
      <c r="A102" s="283"/>
      <c r="B102" s="284"/>
      <c r="C102" s="284"/>
      <c r="D102" s="284"/>
      <c r="E102" s="285"/>
    </row>
    <row r="103" spans="1:8" x14ac:dyDescent="0.2">
      <c r="E103" s="135"/>
    </row>
    <row r="104" spans="1:8" x14ac:dyDescent="0.2">
      <c r="C104" s="173"/>
      <c r="E104" s="135"/>
    </row>
    <row r="105" spans="1:8" x14ac:dyDescent="0.2">
      <c r="B105" s="173"/>
      <c r="C105" s="173"/>
      <c r="E105" s="135"/>
      <c r="H105" s="173"/>
    </row>
    <row r="106" spans="1:8" x14ac:dyDescent="0.2">
      <c r="E106" s="135"/>
    </row>
    <row r="107" spans="1:8" x14ac:dyDescent="0.2">
      <c r="E107" s="135"/>
    </row>
    <row r="108" spans="1:8" x14ac:dyDescent="0.2">
      <c r="C108" s="173"/>
      <c r="D108" s="173"/>
      <c r="E108" s="135"/>
    </row>
    <row r="109" spans="1:8" x14ac:dyDescent="0.2">
      <c r="E109" s="135"/>
    </row>
    <row r="110" spans="1:8" x14ac:dyDescent="0.2">
      <c r="E110" s="135"/>
    </row>
    <row r="111" spans="1:8" x14ac:dyDescent="0.2">
      <c r="E111" s="135"/>
    </row>
    <row r="112" spans="1:8" x14ac:dyDescent="0.2">
      <c r="E112" s="135"/>
    </row>
    <row r="113" spans="3:5" x14ac:dyDescent="0.2">
      <c r="E113" s="135"/>
    </row>
    <row r="114" spans="3:5" x14ac:dyDescent="0.2">
      <c r="C114" s="173"/>
      <c r="E114" s="135"/>
    </row>
    <row r="115" spans="3:5" x14ac:dyDescent="0.2">
      <c r="E115" s="135"/>
    </row>
  </sheetData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9"/>
  <sheetViews>
    <sheetView zoomScale="110" zoomScaleNormal="110" workbookViewId="0">
      <selection activeCell="D11" sqref="D11"/>
    </sheetView>
  </sheetViews>
  <sheetFormatPr defaultColWidth="9.140625" defaultRowHeight="12.75" x14ac:dyDescent="0.2"/>
  <cols>
    <col min="1" max="1" width="58" style="22" bestFit="1" customWidth="1"/>
    <col min="2" max="2" width="11.28515625" style="22" customWidth="1"/>
    <col min="3" max="3" width="9.140625" style="22"/>
    <col min="4" max="4" width="11.28515625" style="22" bestFit="1" customWidth="1"/>
    <col min="5" max="7" width="9.140625" style="22"/>
    <col min="8" max="8" width="10.28515625" style="22" bestFit="1" customWidth="1"/>
    <col min="9" max="16384" width="9.140625" style="22"/>
  </cols>
  <sheetData>
    <row r="1" spans="1:2" ht="15.75" x14ac:dyDescent="0.25">
      <c r="A1" s="224"/>
    </row>
    <row r="2" spans="1:2" ht="18" x14ac:dyDescent="0.25">
      <c r="A2" s="241" t="s">
        <v>308</v>
      </c>
    </row>
    <row r="5" spans="1:2" ht="13.5" thickBot="1" x14ac:dyDescent="0.25"/>
    <row r="6" spans="1:2" ht="13.5" thickBot="1" x14ac:dyDescent="0.25">
      <c r="A6" s="248" t="s">
        <v>222</v>
      </c>
    </row>
    <row r="7" spans="1:2" ht="13.5" thickBot="1" x14ac:dyDescent="0.25">
      <c r="A7" s="245"/>
      <c r="B7" s="247">
        <v>2022</v>
      </c>
    </row>
    <row r="8" spans="1:2" x14ac:dyDescent="0.2">
      <c r="A8" s="30" t="s">
        <v>19</v>
      </c>
      <c r="B8" s="24">
        <f>SUM(Grundtildeling!B9:M10)</f>
        <v>22334623.725002743</v>
      </c>
    </row>
    <row r="9" spans="1:2" x14ac:dyDescent="0.2">
      <c r="A9" s="30" t="s">
        <v>178</v>
      </c>
      <c r="B9" s="24">
        <f>Klassetildeling!E21+Klassetildeling!E25</f>
        <v>100000767.34978242</v>
      </c>
    </row>
    <row r="10" spans="1:2" ht="13.5" thickBot="1" x14ac:dyDescent="0.25">
      <c r="A10" s="30" t="s">
        <v>174</v>
      </c>
      <c r="B10" s="24">
        <f>Prisfremskrivning!B38*Elever!I22</f>
        <v>13620963.475982903</v>
      </c>
    </row>
    <row r="11" spans="1:2" ht="13.5" thickBot="1" x14ac:dyDescent="0.25">
      <c r="A11" s="245" t="s">
        <v>223</v>
      </c>
      <c r="B11" s="246">
        <f>SUM(B8:B10)</f>
        <v>135956354.55076808</v>
      </c>
    </row>
    <row r="12" spans="1:2" x14ac:dyDescent="0.2">
      <c r="A12" s="30"/>
      <c r="B12" s="33"/>
    </row>
    <row r="13" spans="1:2" ht="13.5" thickBot="1" x14ac:dyDescent="0.25">
      <c r="A13" s="30" t="s">
        <v>119</v>
      </c>
      <c r="B13" s="71">
        <f>(5%*B11)/(0.95)</f>
        <v>7155597.6079351623</v>
      </c>
    </row>
    <row r="14" spans="1:2" ht="13.5" thickBot="1" x14ac:dyDescent="0.25">
      <c r="A14" s="245" t="s">
        <v>221</v>
      </c>
      <c r="B14" s="246">
        <f>B13+B11</f>
        <v>143111952.15870324</v>
      </c>
    </row>
    <row r="16" spans="1:2" x14ac:dyDescent="0.2">
      <c r="A16" s="26" t="s">
        <v>310</v>
      </c>
      <c r="B16" s="24">
        <f>SUM(B23:B74)</f>
        <v>2112130.5798266707</v>
      </c>
    </row>
    <row r="17" spans="1:4" ht="13.5" thickBot="1" x14ac:dyDescent="0.25">
      <c r="A17" s="243" t="s">
        <v>194</v>
      </c>
      <c r="B17" s="244">
        <f>B14+B16</f>
        <v>145224082.73852992</v>
      </c>
    </row>
    <row r="19" spans="1:4" x14ac:dyDescent="0.2">
      <c r="A19" s="239"/>
      <c r="B19" s="242"/>
    </row>
    <row r="20" spans="1:4" x14ac:dyDescent="0.2">
      <c r="B20" s="45"/>
    </row>
    <row r="21" spans="1:4" x14ac:dyDescent="0.2">
      <c r="A21" s="225" t="s">
        <v>231</v>
      </c>
      <c r="B21" s="24"/>
    </row>
    <row r="22" spans="1:4" x14ac:dyDescent="0.2">
      <c r="A22" s="226"/>
      <c r="B22" s="24"/>
    </row>
    <row r="23" spans="1:4" x14ac:dyDescent="0.2">
      <c r="A23" s="227" t="str">
        <f>Prisfremskrivning!A50</f>
        <v>Til finansiering af regeringsindgreb ved overenskomst</v>
      </c>
      <c r="B23" s="218">
        <f>Prisfremskrivning!C50</f>
        <v>2184230.4099959196</v>
      </c>
      <c r="C23" s="23" t="s">
        <v>186</v>
      </c>
      <c r="D23" s="23"/>
    </row>
    <row r="24" spans="1:4" x14ac:dyDescent="0.2">
      <c r="A24" s="227" t="str">
        <f>Prisfremskrivning!A51</f>
        <v>Særligt tilskud til implementering af folkeskolereformen</v>
      </c>
      <c r="B24" s="218">
        <f>Prisfremskrivning!C51</f>
        <v>0</v>
      </c>
      <c r="C24" s="23" t="s">
        <v>252</v>
      </c>
    </row>
    <row r="25" spans="1:4" x14ac:dyDescent="0.2">
      <c r="A25" s="227" t="str">
        <f>Prisfremskrivning!A52</f>
        <v>Tilskud til udfasning af 60 års reglen</v>
      </c>
      <c r="B25" s="218">
        <f>Prisfremskrivning!C52</f>
        <v>1288462.8270266</v>
      </c>
      <c r="C25" s="23" t="s">
        <v>203</v>
      </c>
    </row>
    <row r="26" spans="1:4" x14ac:dyDescent="0.2">
      <c r="A26" s="227" t="str">
        <f>Prisfremskrivning!A53</f>
        <v>Styrkelse af almenundervisningen</v>
      </c>
      <c r="B26" s="218">
        <f>Prisfremskrivning!C53</f>
        <v>5771504.2841249993</v>
      </c>
      <c r="C26" s="23"/>
    </row>
    <row r="27" spans="1:4" x14ac:dyDescent="0.2">
      <c r="A27" s="232">
        <f>Prisfremskrivning!A54</f>
        <v>0</v>
      </c>
      <c r="B27" s="218">
        <f>Prisfremskrivning!C54</f>
        <v>0</v>
      </c>
      <c r="C27" s="23"/>
    </row>
    <row r="28" spans="1:4" x14ac:dyDescent="0.2">
      <c r="A28" s="227">
        <f>Prisfremskrivning!A55</f>
        <v>0</v>
      </c>
      <c r="B28" s="218">
        <f>Prisfremskrivning!C55</f>
        <v>0</v>
      </c>
      <c r="C28" s="23"/>
    </row>
    <row r="29" spans="1:4" x14ac:dyDescent="0.2">
      <c r="A29" s="227">
        <f>Prisfremskrivning!A56</f>
        <v>0</v>
      </c>
      <c r="B29" s="218">
        <f>Prisfremskrivning!C56</f>
        <v>0</v>
      </c>
      <c r="C29" s="23"/>
    </row>
    <row r="30" spans="1:4" x14ac:dyDescent="0.2">
      <c r="A30" s="228"/>
      <c r="B30" s="45"/>
      <c r="C30" s="23"/>
    </row>
    <row r="31" spans="1:4" x14ac:dyDescent="0.2">
      <c r="A31" s="225" t="s">
        <v>189</v>
      </c>
      <c r="B31" s="45"/>
      <c r="C31" s="23"/>
    </row>
    <row r="32" spans="1:4" x14ac:dyDescent="0.2">
      <c r="A32" s="226"/>
      <c r="B32" s="45"/>
      <c r="C32" s="23"/>
    </row>
    <row r="33" spans="1:3" x14ac:dyDescent="0.2">
      <c r="A33" s="226" t="s">
        <v>191</v>
      </c>
      <c r="B33" s="45"/>
      <c r="C33" s="23"/>
    </row>
    <row r="34" spans="1:3" x14ac:dyDescent="0.2">
      <c r="A34" s="227" t="str">
        <f>Prisfremskrivning!A61</f>
        <v>Udmøntning af HK 2011 FTR/MED reduktion</v>
      </c>
      <c r="B34" s="218">
        <f>Prisfremskrivning!C61</f>
        <v>-84195.38833859998</v>
      </c>
      <c r="C34" s="23"/>
    </row>
    <row r="35" spans="1:3" x14ac:dyDescent="0.2">
      <c r="A35" s="227" t="str">
        <f>Prisfremskrivning!A62</f>
        <v>Effektivisering generelt</v>
      </c>
      <c r="B35" s="218">
        <f>Prisfremskrivning!C62</f>
        <v>-1024382.8003041599</v>
      </c>
      <c r="C35" s="23"/>
    </row>
    <row r="36" spans="1:3" x14ac:dyDescent="0.2">
      <c r="A36" s="227" t="str">
        <f>Prisfremskrivning!A63</f>
        <v>Skolekoncerter/musik i tide</v>
      </c>
      <c r="B36" s="218">
        <f>Prisfremskrivning!C63</f>
        <v>-96652.108968359986</v>
      </c>
      <c r="C36" s="23"/>
    </row>
    <row r="37" spans="1:3" x14ac:dyDescent="0.2">
      <c r="A37" s="227" t="str">
        <f>Prisfremskrivning!A64</f>
        <v>Fælles DIT-medarbejdere</v>
      </c>
      <c r="B37" s="218">
        <f>Prisfremskrivning!C64</f>
        <v>-1230937.3194538997</v>
      </c>
      <c r="C37" s="27" t="s">
        <v>235</v>
      </c>
    </row>
    <row r="38" spans="1:3" x14ac:dyDescent="0.2">
      <c r="A38" s="227" t="str">
        <f>Prisfremskrivning!A65</f>
        <v>Brug af digitale billeder i grundskolen</v>
      </c>
      <c r="B38" s="218">
        <f>Prisfremskrivning!C65</f>
        <v>-106493.40485651998</v>
      </c>
      <c r="C38" s="23"/>
    </row>
    <row r="39" spans="1:3" x14ac:dyDescent="0.2">
      <c r="A39" s="227" t="str">
        <f>Prisfremskrivning!A66</f>
        <v>Filtrering af skolernes netværk - drift</v>
      </c>
      <c r="B39" s="218">
        <f>Prisfremskrivning!C66</f>
        <v>-98031.796206079976</v>
      </c>
      <c r="C39" s="27" t="s">
        <v>202</v>
      </c>
    </row>
    <row r="40" spans="1:3" x14ac:dyDescent="0.2">
      <c r="A40" s="227" t="str">
        <f>Prisfremskrivning!A67</f>
        <v>Skolernes bidrag til IT-drift</v>
      </c>
      <c r="B40" s="218">
        <f>Prisfremskrivning!C67</f>
        <v>-2889365.1400195998</v>
      </c>
      <c r="C40" s="27" t="s">
        <v>201</v>
      </c>
    </row>
    <row r="41" spans="1:3" x14ac:dyDescent="0.2">
      <c r="A41" s="227" t="str">
        <f>Prisfremskrivning!A68</f>
        <v>½ SFO-lederstilling</v>
      </c>
      <c r="B41" s="218">
        <f>Prisfremskrivning!C68</f>
        <v>-1674777.1328054997</v>
      </c>
      <c r="C41" s="23"/>
    </row>
    <row r="42" spans="1:3" x14ac:dyDescent="0.2">
      <c r="A42" s="227" t="str">
        <f>Prisfremskrivning!A69</f>
        <v>E handel system gevinst</v>
      </c>
      <c r="B42" s="218">
        <f>Prisfremskrivning!C69</f>
        <v>-378086.00339179992</v>
      </c>
      <c r="C42" s="23"/>
    </row>
    <row r="43" spans="1:3" x14ac:dyDescent="0.2">
      <c r="A43" s="229" t="str">
        <f>Prisfremskrivning!A70</f>
        <v>Indkøbsaftaler - Multiline</v>
      </c>
      <c r="B43" s="219">
        <f>Prisfremskrivning!C70</f>
        <v>-6529.4382793199993</v>
      </c>
      <c r="C43" s="23"/>
    </row>
    <row r="44" spans="1:3" x14ac:dyDescent="0.2">
      <c r="A44" s="229" t="str">
        <f>Prisfremskrivning!A71</f>
        <v>Intern kørsel</v>
      </c>
      <c r="B44" s="219">
        <f>Prisfremskrivning!C71</f>
        <v>-47575.387034119994</v>
      </c>
      <c r="C44" s="23"/>
    </row>
    <row r="45" spans="1:3" x14ac:dyDescent="0.2">
      <c r="A45" s="229" t="str">
        <f>Prisfremskrivning!A72</f>
        <v>Udmønting af telefoni b.c. 2015</v>
      </c>
      <c r="B45" s="219">
        <f>Prisfremskrivning!C72</f>
        <v>-15961.187037399997</v>
      </c>
      <c r="C45" s="23"/>
    </row>
    <row r="46" spans="1:3" x14ac:dyDescent="0.2">
      <c r="A46" s="229" t="str">
        <f>Prisfremskrivning!A73</f>
        <v>Besparelse 6. ferieuge</v>
      </c>
      <c r="B46" s="219">
        <f>Prisfremskrivning!C73</f>
        <v>-243270.07075169997</v>
      </c>
      <c r="C46" s="23"/>
    </row>
    <row r="47" spans="1:3" x14ac:dyDescent="0.2">
      <c r="A47" s="229" t="str">
        <f>Prisfremskrivning!A74</f>
        <v>Læse og matematikvejleder</v>
      </c>
      <c r="B47" s="219">
        <f>Prisfremskrivning!C74</f>
        <v>0</v>
      </c>
      <c r="C47" s="172" t="s">
        <v>262</v>
      </c>
    </row>
    <row r="48" spans="1:3" x14ac:dyDescent="0.2">
      <c r="A48" s="229" t="str">
        <f>Prisfremskrivning!A75</f>
        <v>Gevinstrealiseringer 2012-13 340-2011-38</v>
      </c>
      <c r="B48" s="219">
        <f>Prisfremskrivning!C75</f>
        <v>-169124.71757367998</v>
      </c>
      <c r="C48" s="172"/>
    </row>
    <row r="49" spans="1:3" x14ac:dyDescent="0.2">
      <c r="A49" s="229" t="str">
        <f>Prisfremskrivning!A76</f>
        <v>Egenbetaling IT-costmodel</v>
      </c>
      <c r="B49" s="219">
        <f>Prisfremskrivning!C76</f>
        <v>-50453.367980399991</v>
      </c>
      <c r="C49" s="172"/>
    </row>
    <row r="50" spans="1:3" x14ac:dyDescent="0.2">
      <c r="A50" s="229" t="str">
        <f>Prisfremskrivning!A77</f>
        <v>MEP i 2019</v>
      </c>
      <c r="B50" s="219">
        <f>Prisfremskrivning!C77</f>
        <v>-15986.530300399998</v>
      </c>
      <c r="C50" s="172"/>
    </row>
    <row r="51" spans="1:3" x14ac:dyDescent="0.2">
      <c r="A51" s="229" t="str">
        <f>Prisfremskrivning!A78</f>
        <v>Vandaktiviteter</v>
      </c>
      <c r="B51" s="219">
        <f>Prisfremskrivning!C78</f>
        <v>0</v>
      </c>
      <c r="C51" s="172" t="s">
        <v>329</v>
      </c>
    </row>
    <row r="52" spans="1:3" x14ac:dyDescent="0.2">
      <c r="A52" s="229" t="str">
        <f>Prisfremskrivning!A79</f>
        <v>Frikøb i MED-systemet</v>
      </c>
      <c r="B52" s="219">
        <f>Prisfremskrivning!C79</f>
        <v>-56156.296506999992</v>
      </c>
      <c r="C52" s="172"/>
    </row>
    <row r="53" spans="1:3" x14ac:dyDescent="0.2">
      <c r="A53" s="229" t="str">
        <f>Prisfremskrivning!A80</f>
        <v>Besparelser Administrativ Service</v>
      </c>
      <c r="B53" s="219">
        <f>Prisfremskrivning!C80</f>
        <v>-213667.35465499997</v>
      </c>
      <c r="C53" s="172"/>
    </row>
    <row r="54" spans="1:3" x14ac:dyDescent="0.2">
      <c r="A54" s="229" t="str">
        <f>Prisfremskrivning!A81</f>
        <v>AULA</v>
      </c>
      <c r="B54" s="219">
        <f>Prisfremskrivning!C81</f>
        <v>-106239.97222651998</v>
      </c>
      <c r="C54" s="172"/>
    </row>
    <row r="55" spans="1:3" x14ac:dyDescent="0.2">
      <c r="A55" s="229" t="str">
        <f>Prisfremskrivning!A82</f>
        <v>Økonomisk Synergi</v>
      </c>
      <c r="B55" s="219">
        <f>Prisfremskrivning!C82</f>
        <v>-312977.13328375993</v>
      </c>
      <c r="C55" s="172"/>
    </row>
    <row r="56" spans="1:3" x14ac:dyDescent="0.2">
      <c r="A56" s="229" t="str">
        <f>Prisfremskrivning!A83</f>
        <v>Kemikaliehåndtering</v>
      </c>
      <c r="B56" s="219">
        <f>Prisfremskrivning!C83</f>
        <v>-12164.766239999997</v>
      </c>
      <c r="C56" s="172"/>
    </row>
    <row r="57" spans="1:3" x14ac:dyDescent="0.2">
      <c r="A57" s="229" t="str">
        <f>Prisfremskrivning!A84</f>
        <v>TEAMS</v>
      </c>
      <c r="B57" s="219">
        <f>Prisfremskrivning!C84</f>
        <v>-209552.29071127996</v>
      </c>
      <c r="C57" s="172"/>
    </row>
    <row r="58" spans="1:3" x14ac:dyDescent="0.2">
      <c r="A58" s="229" t="str">
        <f>Prisfremskrivning!A85</f>
        <v>MOCH</v>
      </c>
      <c r="B58" s="219">
        <f>Prisfremskrivning!C85</f>
        <v>-13451.190269879997</v>
      </c>
      <c r="C58" s="172"/>
    </row>
    <row r="59" spans="1:3" x14ac:dyDescent="0.2">
      <c r="A59" s="229" t="str">
        <f>Prisfremskrivning!A86</f>
        <v>Brugerstyringsværktøjer</v>
      </c>
      <c r="B59" s="219">
        <f>Prisfremskrivning!C86</f>
        <v>-32749.578179119992</v>
      </c>
      <c r="C59" s="172"/>
    </row>
    <row r="60" spans="1:3" x14ac:dyDescent="0.2">
      <c r="A60" s="229">
        <f>Prisfremskrivning!A87</f>
        <v>0</v>
      </c>
      <c r="B60" s="219">
        <f>Prisfremskrivning!C87</f>
        <v>0</v>
      </c>
      <c r="C60" s="172"/>
    </row>
    <row r="61" spans="1:3" x14ac:dyDescent="0.2">
      <c r="A61" s="229">
        <f>Prisfremskrivning!A88</f>
        <v>0</v>
      </c>
      <c r="B61" s="219">
        <f>Prisfremskrivning!C88</f>
        <v>0</v>
      </c>
      <c r="C61" s="23"/>
    </row>
    <row r="62" spans="1:3" x14ac:dyDescent="0.2">
      <c r="A62" s="230"/>
      <c r="B62" s="24"/>
      <c r="C62" s="23"/>
    </row>
    <row r="63" spans="1:3" x14ac:dyDescent="0.2">
      <c r="A63" s="231" t="str">
        <f>Prisfremskrivning!A91</f>
        <v>Tillagt:</v>
      </c>
      <c r="B63" s="24"/>
      <c r="C63" s="23"/>
    </row>
    <row r="64" spans="1:3" x14ac:dyDescent="0.2">
      <c r="A64" s="227" t="str">
        <f>Prisfremskrivning!A92</f>
        <v>Ung Sorø's andel af ledelsestid</v>
      </c>
      <c r="B64" s="218">
        <f>Prisfremskrivning!C92</f>
        <v>170284.49239405</v>
      </c>
      <c r="C64" s="23"/>
    </row>
    <row r="65" spans="1:16" x14ac:dyDescent="0.2">
      <c r="A65" s="227" t="str">
        <f>Prisfremskrivning!A93</f>
        <v>Ekstra pulje til Dansk og Matematik</v>
      </c>
      <c r="B65" s="218">
        <f>Prisfremskrivning!C93</f>
        <v>1786428.9416591998</v>
      </c>
      <c r="C65" s="23"/>
    </row>
    <row r="66" spans="1:16" x14ac:dyDescent="0.2">
      <c r="A66" s="227" t="str">
        <f>Prisfremskrivning!A94</f>
        <v>Pensionspulje</v>
      </c>
      <c r="B66" s="218">
        <f>Prisfremskrivning!C94</f>
        <v>0</v>
      </c>
      <c r="C66" s="23"/>
    </row>
    <row r="67" spans="1:16" x14ac:dyDescent="0.2">
      <c r="A67" s="227">
        <f>Prisfremskrivning!A95</f>
        <v>0</v>
      </c>
      <c r="B67" s="218">
        <f>Prisfremskrivning!C95</f>
        <v>0</v>
      </c>
      <c r="C67" s="23"/>
    </row>
    <row r="68" spans="1:16" x14ac:dyDescent="0.2">
      <c r="A68" s="227">
        <f>Prisfremskrivning!A96</f>
        <v>0</v>
      </c>
      <c r="B68" s="218">
        <f>Prisfremskrivning!C96</f>
        <v>0</v>
      </c>
      <c r="C68" s="23"/>
    </row>
    <row r="69" spans="1:16" x14ac:dyDescent="0.2">
      <c r="A69" s="227">
        <f>Prisfremskrivning!A97</f>
        <v>0</v>
      </c>
      <c r="B69" s="218">
        <f>Prisfremskrivning!C97</f>
        <v>0</v>
      </c>
      <c r="C69" s="23"/>
    </row>
    <row r="70" spans="1:16" x14ac:dyDescent="0.2">
      <c r="A70" s="227">
        <f>Prisfremskrivning!A98</f>
        <v>0</v>
      </c>
      <c r="B70" s="218">
        <f>Prisfremskrivning!C98</f>
        <v>0</v>
      </c>
      <c r="C70" s="23"/>
    </row>
    <row r="71" spans="1:16" x14ac:dyDescent="0.2">
      <c r="A71" s="227">
        <f>Prisfremskrivning!A99</f>
        <v>0</v>
      </c>
      <c r="B71" s="218">
        <f>Prisfremskrivning!C99</f>
        <v>0</v>
      </c>
      <c r="C71" s="23"/>
    </row>
    <row r="72" spans="1:16" x14ac:dyDescent="0.2">
      <c r="A72" s="227">
        <f>Prisfremskrivning!A100</f>
        <v>0</v>
      </c>
      <c r="B72" s="218">
        <f>Prisfremskrivning!C100</f>
        <v>0</v>
      </c>
      <c r="C72" s="23"/>
    </row>
    <row r="73" spans="1:16" x14ac:dyDescent="0.2">
      <c r="A73" s="227">
        <f>Prisfremskrivning!A101</f>
        <v>0</v>
      </c>
      <c r="B73" s="218">
        <f>Prisfremskrivning!C101</f>
        <v>0</v>
      </c>
      <c r="C73" s="23"/>
    </row>
    <row r="74" spans="1:16" x14ac:dyDescent="0.2">
      <c r="B74" s="24"/>
      <c r="C74" s="23"/>
    </row>
    <row r="75" spans="1:16" ht="13.5" thickBot="1" x14ac:dyDescent="0.25">
      <c r="A75" s="286" t="s">
        <v>316</v>
      </c>
      <c r="B75" s="287">
        <f>SUM(B22:B73)</f>
        <v>2112130.5798266707</v>
      </c>
      <c r="D75" s="24">
        <f>B17-B19</f>
        <v>145224082.73852992</v>
      </c>
    </row>
    <row r="77" spans="1:16" x14ac:dyDescent="0.2">
      <c r="A77" s="24"/>
      <c r="B77" s="24"/>
    </row>
    <row r="78" spans="1:16" x14ac:dyDescent="0.2">
      <c r="A78" s="288" t="s">
        <v>357</v>
      </c>
      <c r="B78" s="289">
        <f>SUM(B17)/Elever!I16</f>
        <v>58510.911659359357</v>
      </c>
    </row>
    <row r="79" spans="1:16" x14ac:dyDescent="0.2">
      <c r="G79" s="24"/>
      <c r="I79" s="24"/>
      <c r="K79" s="72"/>
      <c r="L79" s="72"/>
      <c r="M79" s="72"/>
      <c r="N79" s="72"/>
      <c r="O79" s="72"/>
      <c r="P79" s="72"/>
    </row>
    <row r="80" spans="1:16" x14ac:dyDescent="0.2">
      <c r="G80" s="24"/>
      <c r="I80" s="24"/>
      <c r="K80" s="72"/>
      <c r="L80" s="72"/>
      <c r="M80" s="72"/>
      <c r="N80" s="72"/>
      <c r="O80" s="72"/>
      <c r="P80" s="72"/>
    </row>
    <row r="81" spans="7:16" x14ac:dyDescent="0.2">
      <c r="G81" s="24"/>
      <c r="I81" s="24"/>
      <c r="K81" s="72"/>
      <c r="L81" s="72"/>
      <c r="M81" s="72"/>
      <c r="N81" s="72"/>
      <c r="O81" s="72"/>
      <c r="P81" s="72"/>
    </row>
    <row r="82" spans="7:16" x14ac:dyDescent="0.2">
      <c r="G82" s="24"/>
      <c r="I82" s="24"/>
      <c r="K82" s="72"/>
      <c r="L82" s="72"/>
      <c r="M82" s="72"/>
      <c r="N82" s="72"/>
      <c r="O82" s="72"/>
      <c r="P82" s="72"/>
    </row>
    <row r="83" spans="7:16" x14ac:dyDescent="0.2">
      <c r="G83" s="24"/>
      <c r="I83" s="24"/>
      <c r="K83" s="72"/>
      <c r="L83" s="72"/>
      <c r="M83" s="72"/>
      <c r="N83" s="72"/>
      <c r="O83" s="72"/>
      <c r="P83" s="72"/>
    </row>
    <row r="84" spans="7:16" x14ac:dyDescent="0.2">
      <c r="G84" s="24"/>
      <c r="I84" s="24"/>
      <c r="K84" s="72"/>
      <c r="L84" s="72"/>
      <c r="M84" s="72"/>
      <c r="N84" s="72"/>
      <c r="O84" s="72"/>
      <c r="P84" s="72"/>
    </row>
    <row r="85" spans="7:16" x14ac:dyDescent="0.2">
      <c r="G85" s="24"/>
      <c r="I85" s="24"/>
      <c r="K85" s="72"/>
      <c r="L85" s="72"/>
      <c r="M85" s="72"/>
      <c r="N85" s="72"/>
      <c r="O85" s="72"/>
      <c r="P85" s="72"/>
    </row>
    <row r="86" spans="7:16" x14ac:dyDescent="0.2">
      <c r="G86" s="24"/>
      <c r="I86" s="24"/>
      <c r="K86" s="72"/>
      <c r="L86" s="72"/>
      <c r="M86" s="72"/>
      <c r="N86" s="72"/>
      <c r="O86" s="72"/>
      <c r="P86" s="72"/>
    </row>
    <row r="87" spans="7:16" x14ac:dyDescent="0.2">
      <c r="G87" s="24"/>
      <c r="I87" s="24"/>
      <c r="K87" s="72"/>
      <c r="L87" s="72"/>
      <c r="M87" s="72"/>
      <c r="N87" s="72"/>
      <c r="O87" s="72"/>
      <c r="P87" s="72"/>
    </row>
    <row r="88" spans="7:16" x14ac:dyDescent="0.2">
      <c r="G88" s="24"/>
      <c r="I88" s="24"/>
      <c r="K88" s="72"/>
      <c r="L88" s="72"/>
      <c r="M88" s="72"/>
      <c r="N88" s="72"/>
      <c r="O88" s="72"/>
      <c r="P88" s="72"/>
    </row>
    <row r="89" spans="7:16" x14ac:dyDescent="0.2">
      <c r="G89" s="24"/>
      <c r="I89" s="24"/>
      <c r="K89" s="72"/>
      <c r="L89" s="72"/>
      <c r="M89" s="72"/>
      <c r="N89" s="72"/>
      <c r="O89" s="72"/>
      <c r="P89" s="72"/>
    </row>
  </sheetData>
  <phoneticPr fontId="0" type="noConversion"/>
  <pageMargins left="0" right="0" top="0.74803149606299213" bottom="0.74803149606299213" header="0.31496062992125984" footer="0.31496062992125984"/>
  <pageSetup paperSize="8" scale="85" orientation="portrait" r:id="rId1"/>
  <headerFooter>
    <oddFooter>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7"/>
  <sheetViews>
    <sheetView workbookViewId="0">
      <selection activeCell="C28" sqref="C28"/>
    </sheetView>
  </sheetViews>
  <sheetFormatPr defaultColWidth="9.140625" defaultRowHeight="12.75" x14ac:dyDescent="0.2"/>
  <cols>
    <col min="1" max="1" width="24.42578125" style="22" bestFit="1" customWidth="1"/>
    <col min="2" max="3" width="12.28515625" style="22" customWidth="1"/>
    <col min="4" max="4" width="14.140625" style="22" bestFit="1" customWidth="1"/>
    <col min="5" max="5" width="10.28515625" style="22" customWidth="1"/>
    <col min="6" max="6" width="11.140625" style="22" bestFit="1" customWidth="1"/>
    <col min="7" max="7" width="11.140625" style="22" customWidth="1"/>
    <col min="8" max="8" width="13.140625" style="22" bestFit="1" customWidth="1"/>
    <col min="9" max="13" width="13.140625" style="22" customWidth="1"/>
    <col min="14" max="14" width="13.85546875" style="22" bestFit="1" customWidth="1"/>
    <col min="15" max="15" width="13.85546875" style="22" customWidth="1"/>
    <col min="16" max="16" width="11.85546875" style="22" bestFit="1" customWidth="1"/>
    <col min="17" max="17" width="11.85546875" style="22" customWidth="1"/>
    <col min="18" max="18" width="11.140625" style="22" customWidth="1"/>
    <col min="19" max="19" width="11.42578125" style="22" customWidth="1"/>
    <col min="20" max="20" width="11.140625" style="22" bestFit="1" customWidth="1"/>
    <col min="21" max="21" width="10.140625" style="22" bestFit="1" customWidth="1"/>
    <col min="22" max="22" width="14.140625" style="22" bestFit="1" customWidth="1"/>
    <col min="23" max="23" width="10.85546875" style="22" customWidth="1"/>
    <col min="24" max="24" width="10.140625" style="22" bestFit="1" customWidth="1"/>
    <col min="25" max="25" width="13.5703125" style="22" customWidth="1"/>
    <col min="26" max="26" width="24.42578125" style="22" bestFit="1" customWidth="1"/>
    <col min="27" max="27" width="18.7109375" style="22" bestFit="1" customWidth="1"/>
    <col min="28" max="28" width="10.140625" style="22" bestFit="1" customWidth="1"/>
    <col min="29" max="29" width="9.140625" style="22"/>
    <col min="30" max="30" width="11.85546875" style="22" customWidth="1"/>
    <col min="31" max="31" width="9.140625" style="22"/>
    <col min="32" max="32" width="16" style="22" customWidth="1"/>
    <col min="33" max="16384" width="9.140625" style="22"/>
  </cols>
  <sheetData>
    <row r="1" spans="1:27" ht="13.5" thickBot="1" x14ac:dyDescent="0.25">
      <c r="A1" s="33"/>
      <c r="B1" s="33"/>
      <c r="C1" s="33"/>
      <c r="D1" s="33"/>
      <c r="E1" s="33"/>
      <c r="F1" s="55"/>
      <c r="G1" s="55"/>
      <c r="H1" s="33"/>
      <c r="I1" s="33"/>
      <c r="J1" s="33"/>
      <c r="K1" s="33"/>
      <c r="L1" s="33"/>
      <c r="M1" s="33"/>
      <c r="N1" s="33"/>
      <c r="O1" s="33"/>
      <c r="R1" s="26"/>
      <c r="S1" s="26"/>
      <c r="T1" s="26"/>
    </row>
    <row r="2" spans="1:27" ht="18" x14ac:dyDescent="0.25">
      <c r="A2" s="267" t="s">
        <v>19</v>
      </c>
      <c r="B2" s="376" t="s">
        <v>2</v>
      </c>
      <c r="C2" s="377"/>
      <c r="D2" s="376" t="s">
        <v>3</v>
      </c>
      <c r="E2" s="377"/>
      <c r="F2" s="376" t="s">
        <v>4</v>
      </c>
      <c r="G2" s="377"/>
      <c r="H2" s="376" t="s">
        <v>5</v>
      </c>
      <c r="I2" s="377"/>
      <c r="J2" s="376" t="s">
        <v>1</v>
      </c>
      <c r="K2" s="377"/>
      <c r="L2" s="376" t="s">
        <v>6</v>
      </c>
      <c r="M2" s="377"/>
      <c r="N2" s="290" t="s">
        <v>18</v>
      </c>
      <c r="P2" s="26"/>
    </row>
    <row r="3" spans="1:27" ht="18" x14ac:dyDescent="0.25">
      <c r="A3" s="291"/>
      <c r="B3" s="292" t="s">
        <v>227</v>
      </c>
      <c r="C3" s="293" t="s">
        <v>228</v>
      </c>
      <c r="D3" s="292" t="s">
        <v>227</v>
      </c>
      <c r="E3" s="293" t="s">
        <v>228</v>
      </c>
      <c r="F3" s="292" t="s">
        <v>227</v>
      </c>
      <c r="G3" s="293" t="s">
        <v>228</v>
      </c>
      <c r="H3" s="292" t="s">
        <v>227</v>
      </c>
      <c r="I3" s="293" t="s">
        <v>228</v>
      </c>
      <c r="J3" s="292" t="s">
        <v>227</v>
      </c>
      <c r="K3" s="293" t="s">
        <v>228</v>
      </c>
      <c r="L3" s="292" t="s">
        <v>227</v>
      </c>
      <c r="M3" s="293" t="s">
        <v>228</v>
      </c>
      <c r="N3" s="294"/>
      <c r="P3" s="26"/>
    </row>
    <row r="4" spans="1:27" x14ac:dyDescent="0.2">
      <c r="A4" s="51" t="s">
        <v>206</v>
      </c>
      <c r="B4" s="78">
        <v>3.5</v>
      </c>
      <c r="C4" s="79">
        <f>B4*$B$24</f>
        <v>2585039.4206860997</v>
      </c>
      <c r="D4" s="78">
        <v>3.5</v>
      </c>
      <c r="E4" s="79">
        <f>D4*$B$24</f>
        <v>2585039.4206860997</v>
      </c>
      <c r="F4" s="78">
        <v>3.5</v>
      </c>
      <c r="G4" s="79">
        <f>F4*$B$24</f>
        <v>2585039.4206860997</v>
      </c>
      <c r="H4" s="78">
        <v>2.5</v>
      </c>
      <c r="I4" s="80">
        <f>H4*$B$24</f>
        <v>1846456.7290614999</v>
      </c>
      <c r="J4" s="78">
        <v>3.5</v>
      </c>
      <c r="K4" s="79">
        <f>J4*$B$24</f>
        <v>2585039.4206860997</v>
      </c>
      <c r="L4" s="78">
        <v>3.5</v>
      </c>
      <c r="M4" s="79">
        <f>L4*$B$24</f>
        <v>2585039.4206860997</v>
      </c>
      <c r="N4" s="80"/>
      <c r="P4" s="26"/>
      <c r="S4" s="33"/>
      <c r="T4" s="33"/>
      <c r="U4" s="33"/>
      <c r="V4" s="33"/>
      <c r="W4" s="33"/>
      <c r="X4" s="33"/>
      <c r="Y4" s="33"/>
    </row>
    <row r="5" spans="1:27" x14ac:dyDescent="0.2">
      <c r="A5" s="51" t="s">
        <v>205</v>
      </c>
      <c r="B5" s="78">
        <f>IF(Elever!C16&gt;=$B$20,$C$20,IF(Elever!C16&gt;=$B$19,$C$19,IF(Elever!C16&gt;=$B$18,$C$18,IF(Elever!C16&gt;=$B$17,$C$17,IF(Elever!C16&gt;=$B$16,$C$16,IF(Elever!C16&gt;=$B$15,$C$15,$C$14))))))</f>
        <v>1.5</v>
      </c>
      <c r="C5" s="79">
        <f>B5*$B$25</f>
        <v>660385.92909367499</v>
      </c>
      <c r="D5" s="78">
        <f>IF(Elever!D16&gt;=$B$20,$C$20,IF(Elever!D16&gt;=$B$19,$C$19,IF(Elever!D16&gt;=$B$18,$C$18,IF(Elever!D16&gt;=$B$17,$C$17,IF(Elever!D16&gt;=$B$16,$C$16,IF(Elever!D16&gt;=$B$15,$C$15,$C$14))))))</f>
        <v>1.3</v>
      </c>
      <c r="E5" s="79">
        <f>D5*$B$25</f>
        <v>572334.47188118496</v>
      </c>
      <c r="F5" s="78">
        <f>IF(Elever!E16&gt;=$B$20,$C$20,IF(Elever!E16&gt;=$B$19,$C$19,IF(Elever!E16&gt;=$B$18,$C$18,IF(Elever!E16&gt;=$B$17,$C$17,IF(Elever!E16&gt;=$B$16,$C$16,IF(Elever!E16&gt;=$B$15,$C$15,$C$14))))))</f>
        <v>1.2</v>
      </c>
      <c r="G5" s="79">
        <f>F5*$B$25</f>
        <v>528308.74327493994</v>
      </c>
      <c r="H5" s="78">
        <f>IF(Elever!F16&gt;=$B$20,$C$20,IF(Elever!F16&gt;=$B$19,$C$19,IF(Elever!F16&gt;=$B$18,$C$18,IF(Elever!F16&gt;=$B$17,$C$17,IF(Elever!F16&gt;=$B$16,$C$16,IF(Elever!F16&gt;=$B$15,$C$15,$C$14))))))</f>
        <v>1</v>
      </c>
      <c r="I5" s="80">
        <f>H5*$B$25</f>
        <v>440257.28606244997</v>
      </c>
      <c r="J5" s="78">
        <f>IF(Elever!G16&gt;=$B$20,$C$20,IF(Elever!G16&gt;=$B$19,$C$19,IF(Elever!G16&gt;=$B$18,$C$18,IF(Elever!G16&gt;=$B$17,$C$17,IF(Elever!G16&gt;=$B$16,$C$16,IF(Elever!G16&gt;=$B$15,$C$15,$C$14))))))</f>
        <v>1.3</v>
      </c>
      <c r="K5" s="79">
        <f>J5*$B$25</f>
        <v>572334.47188118496</v>
      </c>
      <c r="L5" s="78">
        <f>IF(Elever!H16&gt;=$B$20,$C$20,IF(Elever!H16&gt;=$B$19,$C$19,IF(Elever!H16&gt;=$B$18,$C$18,IF(Elever!H16&gt;=$B$17,$C$17,IF(Elever!H16&gt;=$B$16,$C$16,IF(Elever!H16&gt;=$B$15,$C$15,$C$14))))))</f>
        <v>1.2</v>
      </c>
      <c r="M5" s="79">
        <f>L5*$B$25</f>
        <v>528308.74327493994</v>
      </c>
      <c r="N5" s="80"/>
      <c r="P5" s="26"/>
      <c r="S5" s="33"/>
      <c r="T5" s="33"/>
      <c r="U5" s="33"/>
      <c r="V5" s="33"/>
      <c r="W5" s="33"/>
      <c r="X5" s="33"/>
      <c r="Y5" s="33"/>
    </row>
    <row r="6" spans="1:27" x14ac:dyDescent="0.2">
      <c r="A6" s="51" t="s">
        <v>216</v>
      </c>
      <c r="B6" s="78">
        <f>IF(Elever!C16&gt;=$B$20,$D$20,IF(Elever!C16&gt;=$B$19,$D$19,IF(Elever!C16&gt;=$B$18,$D$18,IF(Elever!C16&gt;=$B$17,$D$17,IF(Elever!C16&gt;=$B$16,$D$16,IF(Elever!C16&gt;=$B$15,$D$15,$D$14))))))</f>
        <v>1.5</v>
      </c>
      <c r="C6" s="79">
        <f>B6*$B$26</f>
        <v>766987.08911084989</v>
      </c>
      <c r="D6" s="78">
        <f>IF(Elever!D16&gt;=$B$20,$D$20,IF(Elever!D16&gt;=$B$19,$D$19,IF(Elever!D16&gt;=$B$18,$D$18,IF(Elever!D16&gt;=$B$17,$D$17,IF(Elever!D16&gt;=$B$16,$D$16,IF(Elever!D16&gt;=$B$15,$D$15,$D$14))))))</f>
        <v>1.3</v>
      </c>
      <c r="E6" s="79">
        <f>D6*$B$26</f>
        <v>664722.14389606996</v>
      </c>
      <c r="F6" s="78">
        <f>IF(Elever!E16&gt;=$B$20,$D$20,IF(Elever!E16&gt;=$B$19,$D$19,IF(Elever!E16&gt;=$B$18,$D$18,IF(Elever!E16&gt;=$B$17,$D$17,IF(Elever!E16&gt;=$B$16,$D$16,IF(Elever!E16&gt;=$B$15,$D$15,$D$14))))))</f>
        <v>1.2</v>
      </c>
      <c r="G6" s="79">
        <f>F6*$B$26</f>
        <v>613589.67128867994</v>
      </c>
      <c r="H6" s="78">
        <f>IF(Elever!F16&gt;=$B$20,$D$20,IF(Elever!F16&gt;=$B$19,$D$19,IF(Elever!F16&gt;=$B$18,$D$18,IF(Elever!F16&gt;=$B$17,$D$17,IF(Elever!F16&gt;=$B$16,$D$16,IF(Elever!F16&gt;=$B$15,$D$15,$D$14))))))</f>
        <v>1</v>
      </c>
      <c r="I6" s="80">
        <f>H6*$B$26</f>
        <v>511324.72607389995</v>
      </c>
      <c r="J6" s="78">
        <f>IF(Elever!G16&gt;=$B$20,$D$20,IF(Elever!G16&gt;=$B$19,$D$19,IF(Elever!G16&gt;=$B$18,$D$18,IF(Elever!G16&gt;=$B$17,$D$17,IF(Elever!G16&gt;=$B$16,$D$16,IF(Elever!G16&gt;=$B$15,$D$15,$D$14))))))</f>
        <v>1.3</v>
      </c>
      <c r="K6" s="79">
        <f>J6*$B$26</f>
        <v>664722.14389606996</v>
      </c>
      <c r="L6" s="78">
        <f>IF(Elever!H16&gt;=$B$20,$D$20,IF(Elever!H16&gt;=$B$19,$D$19,IF(Elever!H16&gt;=$B$18,$D$18,IF(Elever!H16&gt;=$B$17,$D$17,IF(Elever!H16&gt;=$B$16,$D$16,IF(Elever!H16&gt;=$B$15,$D$15,$D$14))))))</f>
        <v>1.2</v>
      </c>
      <c r="M6" s="79">
        <f>L6*$B$26</f>
        <v>613589.67128867994</v>
      </c>
      <c r="N6" s="80"/>
      <c r="P6" s="26"/>
      <c r="S6" s="33"/>
      <c r="T6" s="33"/>
      <c r="U6" s="33"/>
      <c r="V6" s="33"/>
      <c r="W6" s="33"/>
      <c r="X6" s="33"/>
      <c r="Y6" s="33"/>
    </row>
    <row r="7" spans="1:27" x14ac:dyDescent="0.2">
      <c r="A7" s="51" t="s">
        <v>204</v>
      </c>
      <c r="B7" s="78">
        <f>IF(Elever!C16&gt;=$B$20,$E$20,IF(Elever!C16&gt;=$B$19,$E$19,IF(Elever!C16&gt;=$B$18,$E$18,IF(Elever!C16&gt;=$B$17,$E$17,IF(Elever!C16&gt;=$B$16,$E$16,IF(Elever!C16&gt;=$B$15,$E$15,$E$14))))))</f>
        <v>1.5</v>
      </c>
      <c r="C7" s="79">
        <f>B7*$B$27</f>
        <v>85220.960297624988</v>
      </c>
      <c r="D7" s="78">
        <f>IF(Elever!D16&gt;=$B$20,$E$20,IF(Elever!D16&gt;=$B$19,$E$19,IF(Elever!D16&gt;=$B$18,$E$18,IF(Elever!D16&gt;=$B$17,$E$17,IF(Elever!D16&gt;=$B$16,$E$16,IF(Elever!D16&gt;=$B$15,$E$15,$E$14))))))</f>
        <v>1.3</v>
      </c>
      <c r="E7" s="79">
        <f>D7*$B$27</f>
        <v>73858.165591274999</v>
      </c>
      <c r="F7" s="78">
        <f>IF(Elever!E16&gt;=$B$20,$E$20,IF(Elever!E16&gt;=$B$19,$E$19,IF(Elever!E16&gt;=$B$18,$E$18,IF(Elever!E16&gt;=$B$17,$E$17,IF(Elever!E16&gt;=$B$16,$E$16,IF(Elever!E16&gt;=$B$15,$E$15,$E$14))))))</f>
        <v>1.2</v>
      </c>
      <c r="G7" s="79">
        <f>F7*$B$27</f>
        <v>68176.76823809999</v>
      </c>
      <c r="H7" s="78">
        <f>IF(Elever!F16&gt;=$B$20,$E$20,IF(Elever!F16&gt;=$B$19,$E$19,IF(Elever!F16&gt;=$B$18,$E$18,IF(Elever!F16&gt;=$B$17,$E$17,IF(Elever!F16&gt;=$B$16,$E$16,IF(Elever!F16&gt;=$B$15,$E$15,$E$14))))))</f>
        <v>1</v>
      </c>
      <c r="I7" s="80">
        <f>H7*$B$27</f>
        <v>56813.973531749994</v>
      </c>
      <c r="J7" s="78">
        <f>IF(Elever!G16&gt;=$B$20,$E$20,IF(Elever!G16&gt;=$B$19,$E$19,IF(Elever!G16&gt;=$B$18,$E$18,IF(Elever!G16&gt;=$B$17,$E$17,IF(Elever!G16&gt;=$B$16,$E$16,IF(Elever!G16&gt;=$B$15,$E$15,$E$14))))))</f>
        <v>1.3</v>
      </c>
      <c r="K7" s="79">
        <f>J7*$B$27</f>
        <v>73858.165591274999</v>
      </c>
      <c r="L7" s="78">
        <f>IF(Elever!H16&gt;=$B$20,$E$20,IF(Elever!H16&gt;=$B$19,$E$19,IF(Elever!H16&gt;=$B$18,$E$18,IF(Elever!H16&gt;=$B$17,$E$17,IF(Elever!H16&gt;=$B$16,$E$16,IF(Elever!H16&gt;=$B$15,$E$15,$E$14))))))</f>
        <v>1.2</v>
      </c>
      <c r="M7" s="79">
        <f>L7*$B$27</f>
        <v>68176.76823809999</v>
      </c>
      <c r="N7" s="80"/>
      <c r="P7" s="26"/>
      <c r="S7" s="33"/>
      <c r="T7" s="33"/>
      <c r="U7" s="33"/>
      <c r="V7" s="33"/>
      <c r="W7" s="33"/>
      <c r="X7" s="33"/>
      <c r="Y7" s="33"/>
    </row>
    <row r="8" spans="1:27" x14ac:dyDescent="0.2">
      <c r="A8" s="51"/>
      <c r="B8" s="81"/>
      <c r="C8" s="82"/>
      <c r="D8" s="81"/>
      <c r="E8" s="82"/>
      <c r="F8" s="81"/>
      <c r="G8" s="82"/>
      <c r="H8" s="81"/>
      <c r="I8" s="56"/>
      <c r="J8" s="81"/>
      <c r="K8" s="82"/>
      <c r="L8" s="81"/>
      <c r="M8" s="82"/>
      <c r="N8" s="56"/>
      <c r="P8" s="26"/>
      <c r="S8" s="33"/>
      <c r="T8" s="33"/>
      <c r="U8" s="33"/>
      <c r="V8" s="33"/>
      <c r="W8" s="33"/>
      <c r="X8" s="35"/>
      <c r="Y8" s="35"/>
    </row>
    <row r="9" spans="1:27" x14ac:dyDescent="0.2">
      <c r="A9" s="51" t="s">
        <v>229</v>
      </c>
      <c r="B9" s="81"/>
      <c r="C9" s="82">
        <f>SUM(C4:C7)</f>
        <v>4097633.3991882494</v>
      </c>
      <c r="D9" s="81"/>
      <c r="E9" s="82">
        <f>SUM(E4:E7)</f>
        <v>3895954.2020546291</v>
      </c>
      <c r="F9" s="81"/>
      <c r="G9" s="82">
        <f>SUM(G4:G7)</f>
        <v>3795114.6034878194</v>
      </c>
      <c r="H9" s="81"/>
      <c r="I9" s="56">
        <f>SUM(I4:I7)</f>
        <v>2854852.7147295997</v>
      </c>
      <c r="J9" s="81"/>
      <c r="K9" s="82">
        <f>SUM(K4:K7)</f>
        <v>3895954.2020546291</v>
      </c>
      <c r="L9" s="81"/>
      <c r="M9" s="82">
        <f>SUM(M4:M7)</f>
        <v>3795114.6034878194</v>
      </c>
      <c r="N9" s="56">
        <f>C9+E9+G9+I9+K9+M9</f>
        <v>22334623.725002743</v>
      </c>
      <c r="P9" s="26"/>
      <c r="S9" s="33"/>
      <c r="T9" s="33"/>
      <c r="U9" s="33"/>
      <c r="V9" s="33"/>
      <c r="W9" s="33"/>
      <c r="X9" s="35"/>
      <c r="Y9" s="35"/>
    </row>
    <row r="10" spans="1:27" ht="13.5" thickBot="1" x14ac:dyDescent="0.25">
      <c r="A10" s="295"/>
      <c r="B10" s="296"/>
      <c r="C10" s="297"/>
      <c r="D10" s="298"/>
      <c r="E10" s="299"/>
      <c r="F10" s="296"/>
      <c r="G10" s="297"/>
      <c r="H10" s="300"/>
      <c r="I10" s="301"/>
      <c r="J10" s="296"/>
      <c r="K10" s="297"/>
      <c r="L10" s="296"/>
      <c r="M10" s="297"/>
      <c r="N10" s="302"/>
      <c r="P10" s="26"/>
      <c r="S10" s="33"/>
      <c r="T10" s="33"/>
      <c r="U10" s="33"/>
      <c r="V10" s="33"/>
      <c r="W10" s="33"/>
      <c r="X10" s="26"/>
      <c r="Y10" s="26"/>
    </row>
    <row r="11" spans="1:27" ht="13.5" thickBot="1" x14ac:dyDescent="0.25">
      <c r="U11" s="33"/>
      <c r="V11" s="33"/>
      <c r="W11" s="33"/>
      <c r="X11" s="33"/>
      <c r="Y11" s="33"/>
      <c r="Z11" s="33"/>
      <c r="AA11" s="33"/>
    </row>
    <row r="12" spans="1:27" ht="12.75" customHeight="1" x14ac:dyDescent="0.2">
      <c r="A12" s="258" t="s">
        <v>234</v>
      </c>
      <c r="B12" s="258"/>
      <c r="C12" s="303"/>
      <c r="D12" s="304"/>
      <c r="E12" s="305"/>
      <c r="U12" s="33"/>
      <c r="V12" s="33"/>
      <c r="W12" s="33"/>
      <c r="X12" s="33"/>
      <c r="Y12" s="33"/>
      <c r="Z12" s="33"/>
      <c r="AA12" s="33"/>
    </row>
    <row r="13" spans="1:27" x14ac:dyDescent="0.2">
      <c r="A13" s="30"/>
      <c r="B13" s="37" t="s">
        <v>208</v>
      </c>
      <c r="C13" s="37" t="s">
        <v>205</v>
      </c>
      <c r="D13" s="37" t="s">
        <v>224</v>
      </c>
      <c r="E13" s="38" t="s">
        <v>204</v>
      </c>
      <c r="U13" s="33"/>
      <c r="V13" s="33"/>
      <c r="W13" s="33"/>
      <c r="X13" s="33"/>
      <c r="Y13" s="33"/>
      <c r="Z13" s="33"/>
      <c r="AA13" s="33"/>
    </row>
    <row r="14" spans="1:27" x14ac:dyDescent="0.2">
      <c r="A14" s="30"/>
      <c r="B14" s="26" t="s">
        <v>217</v>
      </c>
      <c r="C14" s="221">
        <v>1</v>
      </c>
      <c r="D14" s="221">
        <v>1</v>
      </c>
      <c r="E14" s="222">
        <v>1</v>
      </c>
      <c r="U14" s="33"/>
      <c r="V14" s="33"/>
      <c r="W14" s="33"/>
      <c r="X14" s="33"/>
      <c r="Y14" s="33"/>
      <c r="Z14" s="33"/>
      <c r="AA14" s="33"/>
    </row>
    <row r="15" spans="1:27" x14ac:dyDescent="0.2">
      <c r="A15" s="31" t="s">
        <v>207</v>
      </c>
      <c r="B15" s="223">
        <v>200</v>
      </c>
      <c r="C15" s="221">
        <v>1.1000000000000001</v>
      </c>
      <c r="D15" s="221">
        <v>1.1000000000000001</v>
      </c>
      <c r="E15" s="222">
        <v>1.1000000000000001</v>
      </c>
      <c r="U15" s="33"/>
      <c r="V15" s="33"/>
      <c r="W15" s="33"/>
      <c r="X15" s="33"/>
      <c r="Y15" s="33"/>
      <c r="Z15" s="33"/>
      <c r="AA15" s="33"/>
    </row>
    <row r="16" spans="1:27" x14ac:dyDescent="0.2">
      <c r="A16" s="31" t="s">
        <v>207</v>
      </c>
      <c r="B16" s="223">
        <v>300</v>
      </c>
      <c r="C16" s="26">
        <v>1.2</v>
      </c>
      <c r="D16" s="26">
        <v>1.2</v>
      </c>
      <c r="E16" s="222">
        <v>1.2</v>
      </c>
      <c r="U16" s="33"/>
      <c r="V16" s="33"/>
      <c r="W16" s="33"/>
      <c r="X16" s="33"/>
      <c r="Y16" s="33"/>
      <c r="Z16" s="33"/>
      <c r="AA16" s="33"/>
    </row>
    <row r="17" spans="1:27" x14ac:dyDescent="0.2">
      <c r="A17" s="31" t="s">
        <v>207</v>
      </c>
      <c r="B17" s="223">
        <v>400</v>
      </c>
      <c r="C17" s="26">
        <v>1.3</v>
      </c>
      <c r="D17" s="26">
        <v>1.3</v>
      </c>
      <c r="E17" s="222">
        <v>1.3</v>
      </c>
      <c r="U17" s="33"/>
      <c r="V17" s="33"/>
      <c r="W17" s="33"/>
      <c r="X17" s="33"/>
      <c r="Y17" s="33"/>
      <c r="Z17" s="33"/>
      <c r="AA17" s="33"/>
    </row>
    <row r="18" spans="1:27" x14ac:dyDescent="0.2">
      <c r="A18" s="31" t="s">
        <v>207</v>
      </c>
      <c r="B18" s="223">
        <v>500</v>
      </c>
      <c r="C18" s="221">
        <v>1.4</v>
      </c>
      <c r="D18" s="221">
        <v>1.4</v>
      </c>
      <c r="E18" s="222">
        <v>1.4</v>
      </c>
      <c r="U18" s="33"/>
      <c r="V18" s="33"/>
      <c r="W18" s="33"/>
      <c r="X18" s="33"/>
      <c r="Y18" s="33"/>
      <c r="Z18" s="33"/>
      <c r="AA18" s="33"/>
    </row>
    <row r="19" spans="1:27" x14ac:dyDescent="0.2">
      <c r="A19" s="31" t="s">
        <v>207</v>
      </c>
      <c r="B19" s="223">
        <v>600</v>
      </c>
      <c r="C19" s="26">
        <v>1.5</v>
      </c>
      <c r="D19" s="26">
        <v>1.5</v>
      </c>
      <c r="E19" s="222">
        <v>1.5</v>
      </c>
      <c r="U19" s="33"/>
      <c r="V19" s="33"/>
      <c r="W19" s="33"/>
      <c r="X19" s="33"/>
      <c r="Y19" s="33"/>
      <c r="Z19" s="33"/>
      <c r="AA19" s="33"/>
    </row>
    <row r="20" spans="1:27" x14ac:dyDescent="0.2">
      <c r="A20" s="31" t="s">
        <v>207</v>
      </c>
      <c r="B20" s="223">
        <v>700</v>
      </c>
      <c r="C20" s="221">
        <v>1.6</v>
      </c>
      <c r="D20" s="221">
        <v>1.6</v>
      </c>
      <c r="E20" s="222">
        <v>1.6</v>
      </c>
      <c r="U20" s="33"/>
      <c r="V20" s="33"/>
      <c r="W20" s="33"/>
      <c r="X20" s="33"/>
      <c r="Y20" s="33"/>
      <c r="Z20" s="33"/>
      <c r="AA20" s="33"/>
    </row>
    <row r="21" spans="1:27" ht="13.5" thickBot="1" x14ac:dyDescent="0.25">
      <c r="A21" s="295"/>
      <c r="B21" s="306"/>
      <c r="C21" s="306"/>
      <c r="D21" s="306"/>
      <c r="E21" s="302"/>
      <c r="U21" s="33"/>
      <c r="V21" s="33"/>
      <c r="W21" s="33"/>
      <c r="X21" s="33"/>
      <c r="Y21" s="33"/>
      <c r="Z21" s="33"/>
      <c r="AA21" s="33"/>
    </row>
    <row r="22" spans="1:27" ht="13.5" thickBot="1" x14ac:dyDescent="0.25"/>
    <row r="23" spans="1:27" x14ac:dyDescent="0.2">
      <c r="A23" s="258" t="s">
        <v>330</v>
      </c>
      <c r="B23" s="259"/>
      <c r="C23" s="26"/>
    </row>
    <row r="24" spans="1:27" x14ac:dyDescent="0.2">
      <c r="A24" s="51" t="s">
        <v>206</v>
      </c>
      <c r="B24" s="56">
        <f>Prisfremskrivning!D10</f>
        <v>738582.69162459997</v>
      </c>
      <c r="C24" s="35"/>
      <c r="D24" s="157"/>
    </row>
    <row r="25" spans="1:27" x14ac:dyDescent="0.2">
      <c r="A25" s="51" t="s">
        <v>205</v>
      </c>
      <c r="B25" s="56">
        <f>Prisfremskrivning!D11</f>
        <v>440257.28606244997</v>
      </c>
      <c r="C25" s="35"/>
      <c r="D25" s="157"/>
    </row>
    <row r="26" spans="1:27" x14ac:dyDescent="0.2">
      <c r="A26" s="51" t="s">
        <v>216</v>
      </c>
      <c r="B26" s="56">
        <f>Prisfremskrivning!D12</f>
        <v>511324.72607389995</v>
      </c>
      <c r="C26" s="35"/>
      <c r="D26" s="157"/>
    </row>
    <row r="27" spans="1:27" ht="13.5" thickBot="1" x14ac:dyDescent="0.25">
      <c r="A27" s="52" t="s">
        <v>204</v>
      </c>
      <c r="B27" s="60">
        <f>Prisfremskrivning!D13</f>
        <v>56813.973531749994</v>
      </c>
      <c r="C27" s="35"/>
      <c r="D27" s="157"/>
    </row>
  </sheetData>
  <mergeCells count="6">
    <mergeCell ref="L2:M2"/>
    <mergeCell ref="H2:I2"/>
    <mergeCell ref="J2:K2"/>
    <mergeCell ref="B2:C2"/>
    <mergeCell ref="D2:E2"/>
    <mergeCell ref="F2:G2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workbookViewId="0">
      <selection activeCell="O20" sqref="O20"/>
    </sheetView>
  </sheetViews>
  <sheetFormatPr defaultColWidth="9.140625" defaultRowHeight="12.75" x14ac:dyDescent="0.2"/>
  <cols>
    <col min="1" max="1" width="20.5703125" style="22" customWidth="1"/>
    <col min="2" max="2" width="13.5703125" style="22" customWidth="1"/>
    <col min="3" max="3" width="10.7109375" style="22" bestFit="1" customWidth="1"/>
    <col min="4" max="4" width="14.140625" style="22" bestFit="1" customWidth="1"/>
    <col min="5" max="5" width="14" style="22" bestFit="1" customWidth="1"/>
    <col min="6" max="6" width="10.7109375" style="22" bestFit="1" customWidth="1"/>
    <col min="7" max="7" width="15" style="22" customWidth="1"/>
    <col min="8" max="8" width="17.140625" style="22" customWidth="1"/>
    <col min="9" max="9" width="10.140625" style="22" bestFit="1" customWidth="1"/>
    <col min="10" max="10" width="15" style="22" customWidth="1"/>
    <col min="11" max="11" width="10.42578125" style="22" customWidth="1"/>
    <col min="12" max="12" width="10.5703125" style="22" customWidth="1"/>
    <col min="13" max="13" width="7.5703125" style="22" bestFit="1" customWidth="1"/>
    <col min="14" max="14" width="24.42578125" style="22" bestFit="1" customWidth="1"/>
    <col min="15" max="16384" width="9.140625" style="22"/>
  </cols>
  <sheetData>
    <row r="1" spans="1:16" ht="13.5" thickBot="1" x14ac:dyDescent="0.25">
      <c r="I1" s="26"/>
      <c r="J1" s="26"/>
      <c r="K1" s="26"/>
      <c r="L1" s="26"/>
      <c r="M1" s="26"/>
      <c r="N1" s="26"/>
      <c r="O1" s="26"/>
      <c r="P1" s="26"/>
    </row>
    <row r="2" spans="1:16" ht="18" x14ac:dyDescent="0.25">
      <c r="A2" s="267" t="s">
        <v>0</v>
      </c>
      <c r="B2" s="303" t="s">
        <v>2</v>
      </c>
      <c r="C2" s="303" t="s">
        <v>3</v>
      </c>
      <c r="D2" s="303" t="s">
        <v>4</v>
      </c>
      <c r="E2" s="303" t="s">
        <v>5</v>
      </c>
      <c r="F2" s="303" t="s">
        <v>1</v>
      </c>
      <c r="G2" s="303" t="s">
        <v>6</v>
      </c>
      <c r="H2" s="307" t="s">
        <v>18</v>
      </c>
      <c r="I2" s="26"/>
      <c r="J2" s="308" t="s">
        <v>232</v>
      </c>
      <c r="K2" s="288"/>
      <c r="L2" s="26"/>
      <c r="N2" s="26"/>
      <c r="O2" s="26"/>
    </row>
    <row r="3" spans="1:16" ht="12.75" customHeight="1" x14ac:dyDescent="0.2">
      <c r="A3" s="30" t="s">
        <v>225</v>
      </c>
      <c r="B3" s="35">
        <f>Elever!C22</f>
        <v>230</v>
      </c>
      <c r="C3" s="35">
        <f>Elever!D22</f>
        <v>140</v>
      </c>
      <c r="D3" s="35">
        <f>Elever!E22</f>
        <v>100</v>
      </c>
      <c r="E3" s="26">
        <f>Elever!F22</f>
        <v>64</v>
      </c>
      <c r="F3" s="35">
        <f>Elever!G22</f>
        <v>145</v>
      </c>
      <c r="G3" s="26">
        <f>Elever!H22</f>
        <v>135</v>
      </c>
      <c r="H3" s="74">
        <f>SUM(B3:G3)</f>
        <v>814</v>
      </c>
      <c r="I3" s="26"/>
      <c r="J3" s="40"/>
      <c r="K3" s="35">
        <f>Prisfremskrivning!B38</f>
        <v>16733.370363615359</v>
      </c>
      <c r="L3" s="26"/>
      <c r="M3" s="35"/>
      <c r="N3" s="35"/>
      <c r="O3" s="26"/>
    </row>
    <row r="4" spans="1:16" ht="12.75" customHeight="1" x14ac:dyDescent="0.2">
      <c r="A4" s="30"/>
      <c r="B4" s="26"/>
      <c r="C4" s="26"/>
      <c r="D4" s="26"/>
      <c r="E4" s="26"/>
      <c r="F4" s="26"/>
      <c r="G4" s="26"/>
      <c r="H4" s="74"/>
      <c r="I4" s="26"/>
      <c r="J4" s="40"/>
      <c r="K4" s="35"/>
      <c r="L4" s="26"/>
      <c r="M4" s="35"/>
      <c r="N4" s="35"/>
      <c r="O4" s="26"/>
    </row>
    <row r="5" spans="1:16" ht="12.75" customHeight="1" x14ac:dyDescent="0.2">
      <c r="A5" s="30" t="s">
        <v>317</v>
      </c>
      <c r="B5" s="236">
        <f t="shared" ref="B5:G5" si="0">B3*$K$3</f>
        <v>3848675.1836315324</v>
      </c>
      <c r="C5" s="236">
        <f t="shared" si="0"/>
        <v>2342671.8509061504</v>
      </c>
      <c r="D5" s="236">
        <f t="shared" si="0"/>
        <v>1673337.0363615358</v>
      </c>
      <c r="E5" s="236">
        <f t="shared" si="0"/>
        <v>1070935.703271383</v>
      </c>
      <c r="F5" s="236">
        <f t="shared" si="0"/>
        <v>2426338.7027242272</v>
      </c>
      <c r="G5" s="236">
        <f t="shared" si="0"/>
        <v>2259004.9990880736</v>
      </c>
      <c r="H5" s="41">
        <f>SUM(B5:G5)</f>
        <v>13620963.475982903</v>
      </c>
      <c r="I5" s="26"/>
      <c r="J5" s="40" t="s">
        <v>319</v>
      </c>
      <c r="K5" s="35"/>
      <c r="L5" s="26"/>
      <c r="M5" s="35"/>
      <c r="N5" s="35"/>
      <c r="O5" s="26"/>
    </row>
    <row r="6" spans="1:16" ht="12.75" customHeight="1" x14ac:dyDescent="0.2">
      <c r="A6" s="30" t="s">
        <v>318</v>
      </c>
      <c r="B6" s="236">
        <f t="shared" ref="B6:G6" si="1">IF(B3&lt;$K$6,$K$3*$K$6-B5,0)</f>
        <v>0</v>
      </c>
      <c r="C6" s="236">
        <f t="shared" si="1"/>
        <v>0</v>
      </c>
      <c r="D6" s="236">
        <f t="shared" si="1"/>
        <v>0</v>
      </c>
      <c r="E6" s="236">
        <f t="shared" si="1"/>
        <v>0</v>
      </c>
      <c r="F6" s="236">
        <f t="shared" si="1"/>
        <v>0</v>
      </c>
      <c r="G6" s="236">
        <f t="shared" si="1"/>
        <v>0</v>
      </c>
      <c r="H6" s="237">
        <f>SUM(B6:G6)</f>
        <v>0</v>
      </c>
      <c r="I6" s="26"/>
      <c r="J6" s="40" t="s">
        <v>320</v>
      </c>
      <c r="K6" s="238">
        <v>64</v>
      </c>
      <c r="L6" s="26"/>
      <c r="M6" s="35"/>
      <c r="N6" s="35"/>
      <c r="O6" s="26"/>
    </row>
    <row r="7" spans="1:16" ht="12.75" customHeight="1" x14ac:dyDescent="0.2">
      <c r="A7" s="30"/>
      <c r="B7" s="33"/>
      <c r="C7" s="33"/>
      <c r="D7" s="33"/>
      <c r="E7" s="33"/>
      <c r="F7" s="33"/>
      <c r="G7" s="33"/>
      <c r="H7" s="74"/>
      <c r="I7" s="26"/>
      <c r="L7" s="26"/>
      <c r="M7" s="35"/>
      <c r="N7" s="35"/>
      <c r="O7" s="26"/>
    </row>
    <row r="8" spans="1:16" x14ac:dyDescent="0.2">
      <c r="A8" s="21" t="s">
        <v>226</v>
      </c>
      <c r="B8" s="124">
        <f t="shared" ref="B8:G8" si="2">B3*$K$3</f>
        <v>3848675.1836315324</v>
      </c>
      <c r="C8" s="124">
        <f t="shared" si="2"/>
        <v>2342671.8509061504</v>
      </c>
      <c r="D8" s="124">
        <f t="shared" si="2"/>
        <v>1673337.0363615358</v>
      </c>
      <c r="E8" s="124">
        <f t="shared" si="2"/>
        <v>1070935.703271383</v>
      </c>
      <c r="F8" s="124">
        <f t="shared" si="2"/>
        <v>2426338.7027242272</v>
      </c>
      <c r="G8" s="159">
        <f t="shared" si="2"/>
        <v>2259004.9990880736</v>
      </c>
      <c r="H8" s="41">
        <f>SUM(B8:G8)</f>
        <v>13620963.475982903</v>
      </c>
      <c r="I8" s="26"/>
      <c r="J8" s="40"/>
      <c r="K8" s="26"/>
      <c r="L8" s="26"/>
      <c r="M8" s="35"/>
      <c r="N8" s="35"/>
      <c r="O8" s="26"/>
    </row>
    <row r="9" spans="1:16" ht="13.5" thickBot="1" x14ac:dyDescent="0.25">
      <c r="A9" s="295"/>
      <c r="B9" s="306"/>
      <c r="C9" s="306"/>
      <c r="D9" s="306"/>
      <c r="E9" s="306"/>
      <c r="F9" s="306"/>
      <c r="G9" s="306"/>
      <c r="H9" s="309"/>
      <c r="I9" s="26"/>
      <c r="J9" s="26"/>
      <c r="K9" s="35"/>
      <c r="L9" s="26"/>
      <c r="M9" s="26"/>
      <c r="N9" s="26"/>
      <c r="O9" s="26"/>
    </row>
    <row r="10" spans="1:16" x14ac:dyDescent="0.2">
      <c r="C10" s="366"/>
      <c r="I10" s="26"/>
      <c r="J10" s="25"/>
      <c r="K10" s="25"/>
      <c r="L10" s="26"/>
      <c r="M10" s="26"/>
      <c r="N10" s="26"/>
      <c r="O10" s="26"/>
      <c r="P10" s="26"/>
    </row>
    <row r="11" spans="1:16" x14ac:dyDescent="0.2">
      <c r="A11" s="39"/>
      <c r="B11" s="24"/>
      <c r="C11" s="24"/>
      <c r="D11" s="24"/>
      <c r="E11" s="24"/>
      <c r="F11" s="24"/>
      <c r="G11" s="24"/>
      <c r="I11" s="26"/>
      <c r="J11" s="49"/>
      <c r="K11" s="25"/>
      <c r="L11" s="26"/>
      <c r="M11" s="26"/>
      <c r="N11" s="26"/>
      <c r="O11" s="26"/>
      <c r="P11" s="26"/>
    </row>
    <row r="12" spans="1:16" ht="25.5" customHeight="1" thickBot="1" x14ac:dyDescent="0.25">
      <c r="A12" s="378"/>
      <c r="B12" s="378"/>
      <c r="C12" s="378"/>
      <c r="D12" s="378"/>
      <c r="E12" s="378"/>
      <c r="I12" s="26"/>
      <c r="J12" s="26"/>
      <c r="K12" s="35"/>
      <c r="L12" s="26"/>
      <c r="M12" s="26"/>
      <c r="N12" s="26"/>
      <c r="O12" s="26"/>
      <c r="P12" s="26"/>
    </row>
    <row r="13" spans="1:16" ht="18" x14ac:dyDescent="0.25">
      <c r="A13" s="267" t="s">
        <v>237</v>
      </c>
      <c r="B13" s="303" t="s">
        <v>2</v>
      </c>
      <c r="C13" s="303" t="s">
        <v>3</v>
      </c>
      <c r="D13" s="303" t="s">
        <v>4</v>
      </c>
      <c r="E13" s="303" t="s">
        <v>5</v>
      </c>
      <c r="F13" s="303" t="s">
        <v>1</v>
      </c>
      <c r="G13" s="303" t="s">
        <v>6</v>
      </c>
      <c r="H13" s="307" t="s">
        <v>18</v>
      </c>
      <c r="J13" s="308" t="s">
        <v>236</v>
      </c>
      <c r="K13" s="288"/>
      <c r="N13" s="25"/>
      <c r="O13" s="25"/>
    </row>
    <row r="14" spans="1:16" x14ac:dyDescent="0.2">
      <c r="A14" s="30" t="s">
        <v>238</v>
      </c>
      <c r="B14" s="26">
        <f>Elever!C23</f>
        <v>41</v>
      </c>
      <c r="C14" s="26">
        <f>Elever!D23</f>
        <v>33</v>
      </c>
      <c r="D14" s="26">
        <f>Elever!E23</f>
        <v>24</v>
      </c>
      <c r="E14" s="26">
        <f>Elever!F23</f>
        <v>24</v>
      </c>
      <c r="F14" s="26">
        <f>Elever!G23</f>
        <v>37</v>
      </c>
      <c r="G14" s="26">
        <f>Elever!H23</f>
        <v>35</v>
      </c>
      <c r="H14" s="74">
        <f>SUM(B14:G14)</f>
        <v>194</v>
      </c>
      <c r="J14" s="40"/>
      <c r="K14" s="35">
        <f>Prisfremskrivning!G38</f>
        <v>13135.240799516159</v>
      </c>
      <c r="N14" s="25"/>
      <c r="O14" s="25"/>
    </row>
    <row r="15" spans="1:16" x14ac:dyDescent="0.2">
      <c r="A15" s="30"/>
      <c r="B15" s="26"/>
      <c r="C15" s="26"/>
      <c r="D15" s="26"/>
      <c r="E15" s="26"/>
      <c r="F15" s="26"/>
      <c r="G15" s="26"/>
      <c r="H15" s="74"/>
      <c r="J15" s="40"/>
      <c r="K15" s="35"/>
      <c r="N15" s="25"/>
      <c r="O15" s="25"/>
    </row>
    <row r="16" spans="1:16" x14ac:dyDescent="0.2">
      <c r="A16" s="30" t="s">
        <v>317</v>
      </c>
      <c r="B16" s="236">
        <f t="shared" ref="B16:G16" si="3">B14*$K$14</f>
        <v>538544.87278016249</v>
      </c>
      <c r="C16" s="236">
        <f t="shared" si="3"/>
        <v>433462.94638403325</v>
      </c>
      <c r="D16" s="236">
        <f t="shared" si="3"/>
        <v>315245.77918838779</v>
      </c>
      <c r="E16" s="236">
        <f t="shared" si="3"/>
        <v>315245.77918838779</v>
      </c>
      <c r="F16" s="236">
        <f t="shared" si="3"/>
        <v>486003.9095820979</v>
      </c>
      <c r="G16" s="236">
        <f t="shared" si="3"/>
        <v>459733.4279830656</v>
      </c>
      <c r="H16" s="41">
        <f>SUM(B16:G16)</f>
        <v>2548236.7151061348</v>
      </c>
      <c r="J16" s="40" t="s">
        <v>319</v>
      </c>
      <c r="N16" s="25"/>
      <c r="O16" s="25"/>
    </row>
    <row r="17" spans="1:15" x14ac:dyDescent="0.2">
      <c r="A17" s="30" t="s">
        <v>318</v>
      </c>
      <c r="B17" s="236">
        <f t="shared" ref="B17:G17" si="4">IF(B14&lt;$K$17,$K$14*$K$17-B16,0)</f>
        <v>0</v>
      </c>
      <c r="C17" s="236">
        <f t="shared" si="4"/>
        <v>0</v>
      </c>
      <c r="D17" s="236">
        <f t="shared" si="4"/>
        <v>0</v>
      </c>
      <c r="E17" s="236">
        <f t="shared" si="4"/>
        <v>0</v>
      </c>
      <c r="F17" s="236">
        <f t="shared" si="4"/>
        <v>0</v>
      </c>
      <c r="G17" s="236">
        <f t="shared" si="4"/>
        <v>0</v>
      </c>
      <c r="H17" s="237">
        <f>SUM(B17:G17)</f>
        <v>0</v>
      </c>
      <c r="J17" s="40" t="s">
        <v>320</v>
      </c>
      <c r="K17" s="22">
        <v>24</v>
      </c>
      <c r="N17" s="25"/>
      <c r="O17" s="25"/>
    </row>
    <row r="18" spans="1:15" ht="13.5" customHeight="1" x14ac:dyDescent="0.2">
      <c r="A18" s="30"/>
      <c r="B18" s="33"/>
      <c r="C18" s="33"/>
      <c r="D18" s="33"/>
      <c r="E18" s="33"/>
      <c r="F18" s="33"/>
      <c r="G18" s="33"/>
      <c r="H18" s="74"/>
      <c r="N18" s="25"/>
      <c r="O18" s="25"/>
    </row>
    <row r="19" spans="1:15" x14ac:dyDescent="0.2">
      <c r="A19" s="21" t="s">
        <v>239</v>
      </c>
      <c r="B19" s="124">
        <f t="shared" ref="B19:G19" si="5">SUM(B16:B17)</f>
        <v>538544.87278016249</v>
      </c>
      <c r="C19" s="124">
        <f t="shared" si="5"/>
        <v>433462.94638403325</v>
      </c>
      <c r="D19" s="124">
        <f t="shared" si="5"/>
        <v>315245.77918838779</v>
      </c>
      <c r="E19" s="124">
        <f t="shared" si="5"/>
        <v>315245.77918838779</v>
      </c>
      <c r="F19" s="124">
        <f t="shared" si="5"/>
        <v>486003.9095820979</v>
      </c>
      <c r="G19" s="124">
        <f t="shared" si="5"/>
        <v>459733.4279830656</v>
      </c>
      <c r="H19" s="41">
        <f>SUM(B19:G19)</f>
        <v>2548236.7151061348</v>
      </c>
    </row>
    <row r="20" spans="1:15" ht="13.5" thickBot="1" x14ac:dyDescent="0.25">
      <c r="A20" s="295"/>
      <c r="B20" s="306"/>
      <c r="C20" s="306"/>
      <c r="D20" s="306"/>
      <c r="E20" s="306"/>
      <c r="F20" s="306"/>
      <c r="G20" s="306"/>
      <c r="H20" s="309"/>
    </row>
    <row r="21" spans="1:15" ht="15" customHeight="1" x14ac:dyDescent="0.2">
      <c r="F21" s="70"/>
      <c r="G21" s="70"/>
    </row>
    <row r="22" spans="1:15" x14ac:dyDescent="0.2">
      <c r="A22" s="35"/>
      <c r="B22" s="35"/>
      <c r="C22" s="35"/>
      <c r="D22" s="35"/>
      <c r="E22" s="35"/>
      <c r="F22" s="35"/>
      <c r="G22" s="26"/>
    </row>
    <row r="23" spans="1:15" x14ac:dyDescent="0.2">
      <c r="A23" s="35"/>
      <c r="B23" s="35"/>
      <c r="C23" s="35"/>
      <c r="D23" s="35"/>
      <c r="E23" s="35"/>
      <c r="F23" s="35"/>
      <c r="G23" s="35"/>
      <c r="H23" s="26"/>
    </row>
    <row r="24" spans="1:15" x14ac:dyDescent="0.2">
      <c r="A24" s="25"/>
      <c r="B24" s="24"/>
    </row>
    <row r="25" spans="1:15" x14ac:dyDescent="0.2">
      <c r="D25" s="156"/>
      <c r="E25" s="156"/>
      <c r="F25" s="156"/>
    </row>
    <row r="26" spans="1:15" x14ac:dyDescent="0.2">
      <c r="D26" s="157"/>
      <c r="E26" s="157"/>
      <c r="G26" s="158"/>
    </row>
    <row r="27" spans="1:15" x14ac:dyDescent="0.2">
      <c r="D27" s="157"/>
      <c r="E27" s="157"/>
      <c r="G27" s="158"/>
    </row>
    <row r="28" spans="1:15" x14ac:dyDescent="0.2">
      <c r="D28" s="157"/>
      <c r="E28" s="157"/>
      <c r="G28" s="158"/>
    </row>
    <row r="29" spans="1:15" x14ac:dyDescent="0.2">
      <c r="D29" s="157"/>
      <c r="E29" s="157"/>
      <c r="G29" s="158"/>
    </row>
    <row r="30" spans="1:15" x14ac:dyDescent="0.2">
      <c r="D30" s="157"/>
      <c r="E30" s="157"/>
      <c r="G30" s="158"/>
    </row>
    <row r="31" spans="1:15" x14ac:dyDescent="0.2">
      <c r="D31" s="157"/>
      <c r="E31" s="157"/>
      <c r="G31" s="158"/>
    </row>
    <row r="32" spans="1:15" x14ac:dyDescent="0.2">
      <c r="D32" s="157"/>
      <c r="E32" s="157"/>
      <c r="G32" s="158"/>
    </row>
    <row r="33" spans="4:7" x14ac:dyDescent="0.2">
      <c r="D33" s="157"/>
      <c r="E33" s="157"/>
      <c r="G33" s="158"/>
    </row>
    <row r="34" spans="4:7" x14ac:dyDescent="0.2">
      <c r="D34" s="157"/>
      <c r="E34" s="157"/>
      <c r="G34" s="158"/>
    </row>
    <row r="35" spans="4:7" x14ac:dyDescent="0.2">
      <c r="D35" s="157"/>
      <c r="E35" s="157"/>
      <c r="G35" s="158"/>
    </row>
    <row r="36" spans="4:7" x14ac:dyDescent="0.2">
      <c r="D36" s="157"/>
      <c r="E36" s="157"/>
      <c r="G36" s="158"/>
    </row>
    <row r="37" spans="4:7" x14ac:dyDescent="0.2">
      <c r="D37" s="157"/>
      <c r="E37" s="157"/>
      <c r="G37" s="158"/>
    </row>
    <row r="38" spans="4:7" x14ac:dyDescent="0.2">
      <c r="D38" s="157"/>
      <c r="E38" s="157"/>
      <c r="G38" s="158"/>
    </row>
    <row r="39" spans="4:7" x14ac:dyDescent="0.2">
      <c r="D39" s="157"/>
      <c r="E39" s="157"/>
      <c r="G39" s="158"/>
    </row>
    <row r="40" spans="4:7" x14ac:dyDescent="0.2">
      <c r="D40" s="157"/>
      <c r="E40" s="157"/>
      <c r="G40" s="158"/>
    </row>
    <row r="41" spans="4:7" x14ac:dyDescent="0.2">
      <c r="D41" s="157"/>
      <c r="E41" s="157"/>
      <c r="G41" s="158"/>
    </row>
    <row r="42" spans="4:7" x14ac:dyDescent="0.2">
      <c r="D42" s="157"/>
      <c r="E42" s="157"/>
      <c r="G42" s="158"/>
    </row>
    <row r="43" spans="4:7" x14ac:dyDescent="0.2">
      <c r="D43" s="157"/>
      <c r="E43" s="157"/>
      <c r="G43" s="158"/>
    </row>
    <row r="44" spans="4:7" x14ac:dyDescent="0.2">
      <c r="D44" s="157"/>
      <c r="E44" s="157"/>
      <c r="G44" s="158"/>
    </row>
    <row r="45" spans="4:7" x14ac:dyDescent="0.2">
      <c r="D45" s="157"/>
      <c r="E45" s="157"/>
    </row>
  </sheetData>
  <mergeCells count="1">
    <mergeCell ref="A12:E12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"/>
  <sheetViews>
    <sheetView workbookViewId="0">
      <selection activeCell="I39" sqref="I39"/>
    </sheetView>
  </sheetViews>
  <sheetFormatPr defaultRowHeight="12.75" x14ac:dyDescent="0.2"/>
  <cols>
    <col min="1" max="1" width="25.85546875" customWidth="1"/>
  </cols>
  <sheetData>
    <row r="1" spans="1:8" ht="13.5" thickBot="1" x14ac:dyDescent="0.25"/>
    <row r="2" spans="1:8" ht="18" x14ac:dyDescent="0.25">
      <c r="A2" s="267" t="s">
        <v>119</v>
      </c>
      <c r="B2" s="303" t="s">
        <v>2</v>
      </c>
      <c r="C2" s="303" t="s">
        <v>3</v>
      </c>
      <c r="D2" s="303" t="s">
        <v>4</v>
      </c>
      <c r="E2" s="303" t="s">
        <v>5</v>
      </c>
      <c r="F2" s="303" t="s">
        <v>1</v>
      </c>
      <c r="G2" s="303" t="s">
        <v>6</v>
      </c>
      <c r="H2" s="307" t="s">
        <v>18</v>
      </c>
    </row>
    <row r="3" spans="1:8" x14ac:dyDescent="0.2">
      <c r="A3" s="30" t="s">
        <v>314</v>
      </c>
      <c r="B3" s="35">
        <f>Elever!C16</f>
        <v>687</v>
      </c>
      <c r="C3" s="35">
        <f>Elever!D16</f>
        <v>489</v>
      </c>
      <c r="D3" s="35">
        <f>Elever!E16</f>
        <v>363</v>
      </c>
      <c r="E3" s="35">
        <f>Elever!F16</f>
        <v>179</v>
      </c>
      <c r="F3" s="35">
        <f>Elever!G16</f>
        <v>428</v>
      </c>
      <c r="G3" s="35">
        <f>Elever!H16</f>
        <v>336</v>
      </c>
      <c r="H3" s="74">
        <f>SUM(B3:G3)</f>
        <v>2482</v>
      </c>
    </row>
    <row r="4" spans="1:8" x14ac:dyDescent="0.2">
      <c r="A4" s="30"/>
      <c r="B4" s="35"/>
      <c r="C4" s="35"/>
      <c r="D4" s="35"/>
      <c r="E4" s="35"/>
      <c r="F4" s="35"/>
      <c r="G4" s="35"/>
      <c r="H4" s="74"/>
    </row>
    <row r="5" spans="1:8" x14ac:dyDescent="0.2">
      <c r="A5" s="30" t="s">
        <v>311</v>
      </c>
      <c r="B5" s="240">
        <v>0.5</v>
      </c>
      <c r="C5" s="240">
        <v>2</v>
      </c>
      <c r="D5" s="240">
        <v>1.5</v>
      </c>
      <c r="E5" s="240">
        <v>3</v>
      </c>
      <c r="F5" s="240">
        <v>1.75</v>
      </c>
      <c r="G5" s="240">
        <v>2</v>
      </c>
      <c r="H5" s="235"/>
    </row>
    <row r="6" spans="1:8" x14ac:dyDescent="0.2">
      <c r="A6" s="30"/>
      <c r="B6" s="234"/>
      <c r="C6" s="234"/>
      <c r="D6" s="234"/>
      <c r="E6" s="234"/>
      <c r="F6" s="234"/>
      <c r="G6" s="234"/>
      <c r="H6" s="235"/>
    </row>
    <row r="7" spans="1:8" x14ac:dyDescent="0.2">
      <c r="A7" s="30" t="s">
        <v>312</v>
      </c>
      <c r="B7" s="35">
        <f t="shared" ref="B7:G7" si="0">B3*B5</f>
        <v>343.5</v>
      </c>
      <c r="C7" s="35">
        <f t="shared" si="0"/>
        <v>978</v>
      </c>
      <c r="D7" s="35">
        <f t="shared" si="0"/>
        <v>544.5</v>
      </c>
      <c r="E7" s="35">
        <f t="shared" si="0"/>
        <v>537</v>
      </c>
      <c r="F7" s="35">
        <f t="shared" si="0"/>
        <v>749</v>
      </c>
      <c r="G7" s="35">
        <f t="shared" si="0"/>
        <v>672</v>
      </c>
      <c r="H7" s="73">
        <f>SUM(B7:G7)</f>
        <v>3824</v>
      </c>
    </row>
    <row r="8" spans="1:8" x14ac:dyDescent="0.2">
      <c r="A8" s="30"/>
      <c r="B8" s="35"/>
      <c r="C8" s="35"/>
      <c r="D8" s="35"/>
      <c r="E8" s="35"/>
      <c r="F8" s="35"/>
      <c r="G8" s="35"/>
      <c r="H8" s="73"/>
    </row>
    <row r="9" spans="1:8" x14ac:dyDescent="0.2">
      <c r="A9" s="21" t="s">
        <v>313</v>
      </c>
      <c r="B9" s="209">
        <f t="shared" ref="B9:G9" si="1">B7/$H$7*$H$9</f>
        <v>642768.77048266947</v>
      </c>
      <c r="C9" s="209">
        <f t="shared" si="1"/>
        <v>1830066.5430336266</v>
      </c>
      <c r="D9" s="209">
        <f t="shared" si="1"/>
        <v>1018886.7409834457</v>
      </c>
      <c r="E9" s="209">
        <f t="shared" si="1"/>
        <v>1004852.4883528196</v>
      </c>
      <c r="F9" s="209">
        <f t="shared" si="1"/>
        <v>1401554.0293785138</v>
      </c>
      <c r="G9" s="209">
        <f t="shared" si="1"/>
        <v>1257469.035704087</v>
      </c>
      <c r="H9" s="41">
        <f>Rammen!B13</f>
        <v>7155597.6079351623</v>
      </c>
    </row>
    <row r="10" spans="1:8" ht="13.5" thickBot="1" x14ac:dyDescent="0.25">
      <c r="A10" s="295"/>
      <c r="B10" s="306"/>
      <c r="C10" s="306"/>
      <c r="D10" s="306"/>
      <c r="E10" s="306"/>
      <c r="F10" s="306"/>
      <c r="G10" s="306"/>
      <c r="H10" s="30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BE42"/>
  <sheetViews>
    <sheetView zoomScaleNormal="100" workbookViewId="0">
      <selection activeCell="P24" sqref="P24"/>
    </sheetView>
  </sheetViews>
  <sheetFormatPr defaultRowHeight="12.75" x14ac:dyDescent="0.2"/>
  <cols>
    <col min="3" max="3" width="10.28515625" bestFit="1" customWidth="1"/>
    <col min="4" max="4" width="12" bestFit="1" customWidth="1"/>
    <col min="5" max="5" width="12.85546875" bestFit="1" customWidth="1"/>
    <col min="6" max="6" width="12" bestFit="1" customWidth="1"/>
    <col min="7" max="7" width="14.28515625" customWidth="1"/>
    <col min="8" max="8" width="13.5703125" customWidth="1"/>
    <col min="9" max="9" width="12.5703125" customWidth="1"/>
    <col min="10" max="10" width="9.85546875" customWidth="1"/>
    <col min="11" max="11" width="9.5703125" customWidth="1"/>
    <col min="13" max="13" width="10.140625" bestFit="1" customWidth="1"/>
    <col min="15" max="15" width="10.7109375" customWidth="1"/>
    <col min="17" max="17" width="10.140625" bestFit="1" customWidth="1"/>
    <col min="19" max="19" width="10.140625" bestFit="1" customWidth="1"/>
    <col min="20" max="20" width="10.140625" customWidth="1"/>
    <col min="22" max="22" width="10.140625" bestFit="1" customWidth="1"/>
    <col min="26" max="26" width="10.140625" bestFit="1" customWidth="1"/>
    <col min="30" max="30" width="10.140625" bestFit="1" customWidth="1"/>
    <col min="32" max="32" width="10.140625" bestFit="1" customWidth="1"/>
    <col min="33" max="33" width="12" bestFit="1" customWidth="1"/>
    <col min="38" max="38" width="10.140625" bestFit="1" customWidth="1"/>
    <col min="39" max="43" width="9.7109375" customWidth="1"/>
    <col min="44" max="44" width="10.140625" bestFit="1" customWidth="1"/>
    <col min="45" max="45" width="9.7109375" customWidth="1"/>
    <col min="47" max="47" width="10.28515625" bestFit="1" customWidth="1"/>
    <col min="48" max="48" width="11.140625" bestFit="1" customWidth="1"/>
    <col min="49" max="49" width="11.28515625" customWidth="1"/>
    <col min="50" max="51" width="11.140625" bestFit="1" customWidth="1"/>
    <col min="52" max="52" width="14.42578125" customWidth="1"/>
    <col min="53" max="53" width="10.140625" customWidth="1"/>
    <col min="54" max="55" width="10.28515625" bestFit="1" customWidth="1"/>
    <col min="56" max="57" width="11.140625" hidden="1" customWidth="1"/>
  </cols>
  <sheetData>
    <row r="1" spans="1:50" ht="13.5" thickBot="1" x14ac:dyDescent="0.25"/>
    <row r="2" spans="1:50" ht="18" x14ac:dyDescent="0.25">
      <c r="A2" s="267"/>
      <c r="B2" s="384" t="s">
        <v>289</v>
      </c>
      <c r="C2" s="382"/>
      <c r="D2" s="382"/>
      <c r="E2" s="382"/>
      <c r="F2" s="382"/>
      <c r="G2" s="385"/>
      <c r="H2" s="384" t="s">
        <v>60</v>
      </c>
      <c r="I2" s="382"/>
      <c r="J2" s="382"/>
      <c r="K2" s="382"/>
      <c r="L2" s="382"/>
      <c r="M2" s="385"/>
      <c r="N2" s="310"/>
      <c r="O2" s="384" t="s">
        <v>59</v>
      </c>
      <c r="P2" s="382"/>
      <c r="Q2" s="382"/>
      <c r="R2" s="382"/>
      <c r="S2" s="382"/>
      <c r="T2" s="385"/>
      <c r="U2" s="382" t="s">
        <v>291</v>
      </c>
      <c r="V2" s="382"/>
      <c r="W2" s="382"/>
      <c r="X2" s="382"/>
      <c r="Y2" s="382"/>
      <c r="Z2" s="383"/>
      <c r="AA2" s="384" t="s">
        <v>288</v>
      </c>
      <c r="AB2" s="382"/>
      <c r="AC2" s="382"/>
      <c r="AD2" s="382"/>
      <c r="AE2" s="382"/>
      <c r="AF2" s="385"/>
      <c r="AG2" s="384" t="s">
        <v>290</v>
      </c>
      <c r="AH2" s="382"/>
      <c r="AI2" s="382"/>
      <c r="AJ2" s="382"/>
      <c r="AK2" s="382"/>
      <c r="AL2" s="385"/>
      <c r="AM2" s="70"/>
      <c r="AN2" s="317"/>
      <c r="AO2" s="382" t="s">
        <v>287</v>
      </c>
      <c r="AP2" s="382"/>
      <c r="AQ2" s="382"/>
      <c r="AR2" s="382"/>
      <c r="AS2" s="382"/>
      <c r="AT2" s="383"/>
    </row>
    <row r="3" spans="1:50" ht="76.5" x14ac:dyDescent="0.2">
      <c r="A3" s="311" t="s">
        <v>193</v>
      </c>
      <c r="B3" s="312" t="s">
        <v>270</v>
      </c>
      <c r="C3" s="312" t="s">
        <v>277</v>
      </c>
      <c r="D3" s="312" t="s">
        <v>278</v>
      </c>
      <c r="E3" s="312" t="s">
        <v>279</v>
      </c>
      <c r="F3" s="312" t="s">
        <v>18</v>
      </c>
      <c r="G3" s="313" t="s">
        <v>286</v>
      </c>
      <c r="H3" s="312" t="s">
        <v>270</v>
      </c>
      <c r="I3" s="312" t="s">
        <v>277</v>
      </c>
      <c r="J3" s="312" t="s">
        <v>278</v>
      </c>
      <c r="K3" s="312" t="s">
        <v>279</v>
      </c>
      <c r="L3" s="312" t="s">
        <v>18</v>
      </c>
      <c r="M3" s="313" t="s">
        <v>286</v>
      </c>
      <c r="N3" s="314" t="s">
        <v>193</v>
      </c>
      <c r="O3" s="312" t="s">
        <v>270</v>
      </c>
      <c r="P3" s="312" t="s">
        <v>277</v>
      </c>
      <c r="Q3" s="312" t="s">
        <v>278</v>
      </c>
      <c r="R3" s="312" t="s">
        <v>279</v>
      </c>
      <c r="S3" s="312" t="s">
        <v>18</v>
      </c>
      <c r="T3" s="313" t="s">
        <v>286</v>
      </c>
      <c r="U3" s="312" t="s">
        <v>270</v>
      </c>
      <c r="V3" s="312" t="s">
        <v>277</v>
      </c>
      <c r="W3" s="312" t="s">
        <v>278</v>
      </c>
      <c r="X3" s="312" t="s">
        <v>279</v>
      </c>
      <c r="Y3" s="312" t="s">
        <v>18</v>
      </c>
      <c r="Z3" s="315" t="s">
        <v>286</v>
      </c>
      <c r="AA3" s="312" t="s">
        <v>270</v>
      </c>
      <c r="AB3" s="312" t="s">
        <v>277</v>
      </c>
      <c r="AC3" s="312" t="s">
        <v>278</v>
      </c>
      <c r="AD3" s="312" t="s">
        <v>279</v>
      </c>
      <c r="AE3" s="312" t="s">
        <v>18</v>
      </c>
      <c r="AF3" s="313" t="s">
        <v>286</v>
      </c>
      <c r="AG3" s="312" t="s">
        <v>270</v>
      </c>
      <c r="AH3" s="312" t="s">
        <v>277</v>
      </c>
      <c r="AI3" s="312" t="s">
        <v>278</v>
      </c>
      <c r="AJ3" s="312" t="s">
        <v>279</v>
      </c>
      <c r="AK3" s="312" t="s">
        <v>18</v>
      </c>
      <c r="AL3" s="315" t="s">
        <v>286</v>
      </c>
      <c r="AM3" s="208"/>
      <c r="AN3" s="311" t="s">
        <v>193</v>
      </c>
      <c r="AO3" s="318" t="s">
        <v>270</v>
      </c>
      <c r="AP3" s="312" t="s">
        <v>277</v>
      </c>
      <c r="AQ3" s="312" t="s">
        <v>278</v>
      </c>
      <c r="AR3" s="312" t="s">
        <v>279</v>
      </c>
      <c r="AS3" s="312" t="s">
        <v>18</v>
      </c>
      <c r="AT3" s="319" t="s">
        <v>271</v>
      </c>
    </row>
    <row r="4" spans="1:50" x14ac:dyDescent="0.2">
      <c r="A4" s="32" t="s">
        <v>292</v>
      </c>
      <c r="B4" s="178">
        <f>'Elev -&gt; klasser 1'!O22</f>
        <v>0</v>
      </c>
      <c r="C4" s="178">
        <f>'Elev -&gt; klasser 1'!P22</f>
        <v>0</v>
      </c>
      <c r="D4" s="178">
        <f>'Elev -&gt; klasser 1'!Q22</f>
        <v>0</v>
      </c>
      <c r="E4" s="178">
        <f>'Elev -&gt; klasser 1'!R22</f>
        <v>3</v>
      </c>
      <c r="F4" s="178">
        <f>SUM(B4:E4)</f>
        <v>3</v>
      </c>
      <c r="G4" s="178">
        <f>HLOOKUP(F4,$O$19:$R$24,3,FALSE)*B4+HLOOKUP(F4,$O$19:$R$24,4,FALSE)*C4+HLOOKUP(F4,$O$19:$R$24,5,FALSE)*D4+HLOOKUP(F4,$O$19:$R$24,6,FALSE)*E4</f>
        <v>2849419.1028769743</v>
      </c>
      <c r="H4" s="178">
        <f>'Elev -&gt; klasser 1'!O37</f>
        <v>0</v>
      </c>
      <c r="I4" s="178">
        <f>'Elev -&gt; klasser 1'!P37</f>
        <v>0</v>
      </c>
      <c r="J4" s="178">
        <f>'Elev -&gt; klasser 1'!Q37</f>
        <v>0</v>
      </c>
      <c r="K4" s="178">
        <f>'Elev -&gt; klasser 1'!R37</f>
        <v>2</v>
      </c>
      <c r="L4" s="178">
        <f>SUM(H4:K4)</f>
        <v>2</v>
      </c>
      <c r="M4" s="178">
        <f t="shared" ref="M4:M13" si="0">HLOOKUP(L4,$O$19:$R$24,3,FALSE)*H4+HLOOKUP(L4,$O$19:$R$24,4,FALSE)*I4+HLOOKUP(L4,$O$19:$R$24,5,FALSE)*J4+HLOOKUP(L4,$O$19:$R$24,6,FALSE)*K4</f>
        <v>1899612.7352513163</v>
      </c>
      <c r="N4" s="75" t="s">
        <v>292</v>
      </c>
      <c r="O4" s="178">
        <f>'Elev -&gt; klasser 1'!O52</f>
        <v>2</v>
      </c>
      <c r="P4" s="178">
        <f>'Elev -&gt; klasser 1'!P52</f>
        <v>0</v>
      </c>
      <c r="Q4" s="178">
        <f>'Elev -&gt; klasser 1'!Q52</f>
        <v>0</v>
      </c>
      <c r="R4" s="178">
        <f>'Elev -&gt; klasser 1'!R52</f>
        <v>0</v>
      </c>
      <c r="S4" s="178">
        <f>SUM(O4:R4)</f>
        <v>2</v>
      </c>
      <c r="T4" s="178">
        <f t="shared" ref="T4:T13" si="1">HLOOKUP(S4,$O$19:$R$24,3,FALSE)*O4+HLOOKUP(S4,$O$19:$R$24,4,FALSE)*P4+HLOOKUP(S4,$O$19:$R$24,5,FALSE)*Q4+HLOOKUP(S4,$O$19:$R$24,6,FALSE)*R4</f>
        <v>1588632.1034853109</v>
      </c>
      <c r="U4" s="178">
        <f>'Elev -&gt; klasser 1'!O67</f>
        <v>0</v>
      </c>
      <c r="V4" s="178">
        <f>'Elev -&gt; klasser 1'!P67</f>
        <v>0</v>
      </c>
      <c r="W4" s="178">
        <f>'Elev -&gt; klasser 1'!Q67</f>
        <v>1</v>
      </c>
      <c r="X4" s="178">
        <f>'Elev -&gt; klasser 1'!R67</f>
        <v>0</v>
      </c>
      <c r="Y4" s="178">
        <f>SUM(U4:X4)</f>
        <v>1</v>
      </c>
      <c r="Z4" s="183">
        <f>HLOOKUP(Y4,$O$19:$R$24,3,FALSE)*U4+HLOOKUP(Y4,$O$19:$R$24,4,FALSE)*V4+HLOOKUP(Y4,$O$19:$R$24,5,FALSE)*W4+HLOOKUP(Y4,$O$19:$R$24,6,FALSE)*X4</f>
        <v>977407.8675055895</v>
      </c>
      <c r="AA4" s="178">
        <f>'Elev -&gt; klasser 1'!O82</f>
        <v>0</v>
      </c>
      <c r="AB4" s="178">
        <f>'Elev -&gt; klasser 1'!P82</f>
        <v>0</v>
      </c>
      <c r="AC4" s="178">
        <f>'Elev -&gt; klasser 1'!Q82</f>
        <v>0</v>
      </c>
      <c r="AD4" s="178">
        <f>'Elev -&gt; klasser 1'!R82</f>
        <v>2</v>
      </c>
      <c r="AE4" s="178">
        <f>SUM(AA4:AD4)</f>
        <v>2</v>
      </c>
      <c r="AF4" s="178">
        <f>HLOOKUP(AE4,$O$19:$R$24,3,FALSE)*AA4+HLOOKUP(AE4,$O$19:$R$24,4,FALSE)*AB4+HLOOKUP(AE4,$O$19:$R$24,5,FALSE)*AC4+HLOOKUP(AE4,$O$19:$R$24,6,FALSE)*AD4</f>
        <v>1899612.7352513163</v>
      </c>
      <c r="AG4" s="178">
        <f>'Elev -&gt; klasser 1'!O97</f>
        <v>2</v>
      </c>
      <c r="AH4" s="178">
        <f>'Elev -&gt; klasser 1'!P97</f>
        <v>0</v>
      </c>
      <c r="AI4" s="178">
        <f>'Elev -&gt; klasser 1'!Q97</f>
        <v>0</v>
      </c>
      <c r="AJ4" s="178">
        <f>'Elev -&gt; klasser 1'!R97</f>
        <v>0</v>
      </c>
      <c r="AK4" s="178">
        <f>SUM(AG4:AJ4)</f>
        <v>2</v>
      </c>
      <c r="AL4" s="178">
        <f t="shared" ref="AL4:AL13" si="2">HLOOKUP(AK4,$O$19:$R$24,3,FALSE)*AG4+HLOOKUP(AK4,$O$19:$R$24,4,FALSE)*AH4+HLOOKUP(AK4,$O$19:$R$24,5,FALSE)*AI4+HLOOKUP(AK4,$O$19:$R$24,6,FALSE)*AJ4</f>
        <v>1588632.1034853109</v>
      </c>
      <c r="AM4" s="35"/>
      <c r="AN4" s="32" t="s">
        <v>292</v>
      </c>
      <c r="AO4" s="76">
        <f t="shared" ref="AO4:AO13" si="3">AA4+B4+H4+O4+AG4+U4</f>
        <v>4</v>
      </c>
      <c r="AP4" s="178">
        <f t="shared" ref="AP4:AP13" si="4">AB4+C4+I4+P4+AH4+V4</f>
        <v>0</v>
      </c>
      <c r="AQ4" s="178">
        <f t="shared" ref="AQ4:AQ13" si="5">AC4+D4+J4+Q4+AI4+W4</f>
        <v>1</v>
      </c>
      <c r="AR4" s="178">
        <f t="shared" ref="AR4:AR13" si="6">AD4+E4+K4+R4+AJ4+X4</f>
        <v>7</v>
      </c>
      <c r="AS4" s="178">
        <f t="shared" ref="AS4:AS13" si="7">AE4+F4+L4+S4+AK4+Y4</f>
        <v>12</v>
      </c>
      <c r="AT4" s="183">
        <f t="shared" ref="AT4:AT13" si="8">SUMIF(AE4,1)+SUMIF(F4,1)+SUMIF(L4,1)+SUMIF(S4,1)+SUMIF(AK4,1)+SUMIF(Y4,1)</f>
        <v>1</v>
      </c>
      <c r="AX4" s="175">
        <f t="shared" ref="AX4:AX13" si="9">AF4+G4+M4+T4+AL4+Z4</f>
        <v>10803316.647855818</v>
      </c>
    </row>
    <row r="5" spans="1:50" x14ac:dyDescent="0.2">
      <c r="A5" s="32" t="s">
        <v>209</v>
      </c>
      <c r="B5" s="178">
        <f>'Elev -&gt; klasser 1'!O23</f>
        <v>0</v>
      </c>
      <c r="C5" s="178">
        <f>'Elev -&gt; klasser 1'!P23</f>
        <v>0</v>
      </c>
      <c r="D5" s="178">
        <f>'Elev -&gt; klasser 1'!Q23</f>
        <v>3</v>
      </c>
      <c r="E5" s="178">
        <f>'Elev -&gt; klasser 1'!R23</f>
        <v>0</v>
      </c>
      <c r="F5" s="178">
        <f t="shared" ref="F5:F13" si="10">SUM(B5:E5)</f>
        <v>3</v>
      </c>
      <c r="G5" s="178">
        <f t="shared" ref="G5:G13" si="11">HLOOKUP(F5,$O$19:$R$24,3,FALSE)*B5+HLOOKUP(F5,$O$19:$R$24,4,FALSE)*C5+HLOOKUP(F5,$O$19:$R$24,5,FALSE)*D5+HLOOKUP(F5,$O$19:$R$24,6,FALSE)*E5</f>
        <v>2693928.786993972</v>
      </c>
      <c r="H5" s="178">
        <f>'Elev -&gt; klasser 1'!O38</f>
        <v>2</v>
      </c>
      <c r="I5" s="178">
        <f>'Elev -&gt; klasser 1'!P38</f>
        <v>0</v>
      </c>
      <c r="J5" s="178">
        <f>'Elev -&gt; klasser 1'!Q38</f>
        <v>0</v>
      </c>
      <c r="K5" s="178">
        <f>'Elev -&gt; klasser 1'!R38</f>
        <v>0</v>
      </c>
      <c r="L5" s="178">
        <f t="shared" ref="L5:L13" si="12">SUM(H5:K5)</f>
        <v>2</v>
      </c>
      <c r="M5" s="178">
        <f t="shared" si="0"/>
        <v>1588632.1034853109</v>
      </c>
      <c r="N5" s="75" t="s">
        <v>209</v>
      </c>
      <c r="O5" s="178">
        <f>'Elev -&gt; klasser 1'!O53</f>
        <v>0</v>
      </c>
      <c r="P5" s="178">
        <f>'Elev -&gt; klasser 1'!P53</f>
        <v>0</v>
      </c>
      <c r="Q5" s="178">
        <f>'Elev -&gt; klasser 1'!Q53</f>
        <v>0</v>
      </c>
      <c r="R5" s="178">
        <f>'Elev -&gt; klasser 1'!R53</f>
        <v>1</v>
      </c>
      <c r="S5" s="178">
        <f t="shared" ref="S5:S13" si="13">SUM(O5:R5)</f>
        <v>1</v>
      </c>
      <c r="T5" s="178">
        <f t="shared" si="1"/>
        <v>1029237.9727999237</v>
      </c>
      <c r="U5" s="178">
        <f>'Elev -&gt; klasser 1'!O68</f>
        <v>1</v>
      </c>
      <c r="V5" s="178">
        <f>'Elev -&gt; klasser 1'!P68</f>
        <v>0</v>
      </c>
      <c r="W5" s="178">
        <f>'Elev -&gt; klasser 1'!Q68</f>
        <v>0</v>
      </c>
      <c r="X5" s="178">
        <f>'Elev -&gt; klasser 1'!R68</f>
        <v>0</v>
      </c>
      <c r="Y5" s="178">
        <f t="shared" ref="Y5:Y13" si="14">SUM(U5:X5)</f>
        <v>1</v>
      </c>
      <c r="Z5" s="345">
        <f>HLOOKUP(Y5,$O$19:$R$24,3,FALSE)*U5+HLOOKUP(Y5,$O$19:$R$24,4,FALSE)*V5+HLOOKUP(Y5,$O$19:$R$24,5,FALSE)*W5+HLOOKUP(Y5,$O$19:$R$24,6,FALSE)*X5-B41</f>
        <v>793744.60134571826</v>
      </c>
      <c r="AA5" s="178">
        <f>'Elev -&gt; klasser 1'!O83</f>
        <v>0</v>
      </c>
      <c r="AB5" s="178">
        <f>'Elev -&gt; klasser 1'!P83</f>
        <v>0</v>
      </c>
      <c r="AC5" s="178">
        <f>'Elev -&gt; klasser 1'!Q83</f>
        <v>0</v>
      </c>
      <c r="AD5" s="178">
        <f>'Elev -&gt; klasser 1'!R83</f>
        <v>1</v>
      </c>
      <c r="AE5" s="178">
        <f t="shared" ref="AE5:AE13" si="15">SUM(AA5:AD5)</f>
        <v>1</v>
      </c>
      <c r="AF5" s="178">
        <f t="shared" ref="AF5:AF13" si="16">HLOOKUP(AE5,$O$19:$R$24,3,FALSE)*AA5+HLOOKUP(AE5,$O$19:$R$24,4,FALSE)*AB5+HLOOKUP(AE5,$O$19:$R$24,5,FALSE)*AC5+HLOOKUP(AE5,$O$19:$R$24,6,FALSE)*AD5</f>
        <v>1029237.9727999237</v>
      </c>
      <c r="AG5" s="178">
        <f>'Elev -&gt; klasser 1'!O98</f>
        <v>2</v>
      </c>
      <c r="AH5" s="178">
        <f>'Elev -&gt; klasser 1'!P98</f>
        <v>0</v>
      </c>
      <c r="AI5" s="178">
        <f>'Elev -&gt; klasser 1'!Q98</f>
        <v>0</v>
      </c>
      <c r="AJ5" s="178">
        <f>'Elev -&gt; klasser 1'!R98</f>
        <v>0</v>
      </c>
      <c r="AK5" s="178">
        <f t="shared" ref="AK5:AK13" si="17">SUM(AG5:AJ5)</f>
        <v>2</v>
      </c>
      <c r="AL5" s="178">
        <f t="shared" si="2"/>
        <v>1588632.1034853109</v>
      </c>
      <c r="AM5" s="35"/>
      <c r="AN5" s="32" t="s">
        <v>209</v>
      </c>
      <c r="AO5" s="76">
        <f t="shared" si="3"/>
        <v>5</v>
      </c>
      <c r="AP5" s="178">
        <f t="shared" si="4"/>
        <v>0</v>
      </c>
      <c r="AQ5" s="178">
        <f t="shared" si="5"/>
        <v>3</v>
      </c>
      <c r="AR5" s="178">
        <f t="shared" si="6"/>
        <v>2</v>
      </c>
      <c r="AS5" s="178">
        <f t="shared" si="7"/>
        <v>10</v>
      </c>
      <c r="AT5" s="183">
        <f t="shared" si="8"/>
        <v>3</v>
      </c>
      <c r="AX5" s="175">
        <f t="shared" si="9"/>
        <v>8723413.5409101583</v>
      </c>
    </row>
    <row r="6" spans="1:50" x14ac:dyDescent="0.2">
      <c r="A6" s="32" t="s">
        <v>210</v>
      </c>
      <c r="B6" s="178">
        <f>'Elev -&gt; klasser 1'!O24</f>
        <v>0</v>
      </c>
      <c r="C6" s="178">
        <f>'Elev -&gt; klasser 1'!P24</f>
        <v>0</v>
      </c>
      <c r="D6" s="178">
        <f>'Elev -&gt; klasser 1'!Q24</f>
        <v>3</v>
      </c>
      <c r="E6" s="178">
        <f>'Elev -&gt; klasser 1'!R24</f>
        <v>0</v>
      </c>
      <c r="F6" s="178">
        <f t="shared" si="10"/>
        <v>3</v>
      </c>
      <c r="G6" s="178">
        <f t="shared" si="11"/>
        <v>2693928.786993972</v>
      </c>
      <c r="H6" s="178">
        <f>'Elev -&gt; klasser 1'!O39</f>
        <v>0</v>
      </c>
      <c r="I6" s="178">
        <f>'Elev -&gt; klasser 1'!P39</f>
        <v>0</v>
      </c>
      <c r="J6" s="178">
        <f>'Elev -&gt; klasser 1'!Q39</f>
        <v>2</v>
      </c>
      <c r="K6" s="178">
        <f>'Elev -&gt; klasser 1'!R39</f>
        <v>0</v>
      </c>
      <c r="L6" s="178">
        <f t="shared" si="12"/>
        <v>2</v>
      </c>
      <c r="M6" s="178">
        <f t="shared" si="0"/>
        <v>1795952.5246626479</v>
      </c>
      <c r="N6" s="75" t="s">
        <v>210</v>
      </c>
      <c r="O6" s="178">
        <f>'Elev -&gt; klasser 1'!O54</f>
        <v>0</v>
      </c>
      <c r="P6" s="178">
        <f>'Elev -&gt; klasser 1'!P54</f>
        <v>0</v>
      </c>
      <c r="Q6" s="178">
        <f>'Elev -&gt; klasser 1'!Q54</f>
        <v>1</v>
      </c>
      <c r="R6" s="178">
        <f>'Elev -&gt; klasser 1'!R54</f>
        <v>0</v>
      </c>
      <c r="S6" s="178">
        <f t="shared" si="13"/>
        <v>1</v>
      </c>
      <c r="T6" s="178">
        <f t="shared" si="1"/>
        <v>977407.8675055895</v>
      </c>
      <c r="U6" s="178">
        <f>'Elev -&gt; klasser 1'!O69</f>
        <v>1</v>
      </c>
      <c r="V6" s="178">
        <f>'Elev -&gt; klasser 1'!P69</f>
        <v>0</v>
      </c>
      <c r="W6" s="178">
        <f>'Elev -&gt; klasser 1'!Q69</f>
        <v>0</v>
      </c>
      <c r="X6" s="178">
        <f>'Elev -&gt; klasser 1'!R69</f>
        <v>0</v>
      </c>
      <c r="Y6" s="178">
        <f t="shared" si="14"/>
        <v>1</v>
      </c>
      <c r="Z6" s="183">
        <f t="shared" ref="Z6:Z13" si="18">HLOOKUP(Y6,$O$19:$R$24,3,FALSE)*U6+HLOOKUP(Y6,$O$19:$R$24,4,FALSE)*V6+HLOOKUP(Y6,$O$19:$R$24,5,FALSE)*W6+HLOOKUP(Y6,$O$19:$R$24,6,FALSE)*X6</f>
        <v>873747.65691692103</v>
      </c>
      <c r="AA6" s="178">
        <f>'Elev -&gt; klasser 1'!O84</f>
        <v>0</v>
      </c>
      <c r="AB6" s="178">
        <f>'Elev -&gt; klasser 1'!P84</f>
        <v>0</v>
      </c>
      <c r="AC6" s="178">
        <f>'Elev -&gt; klasser 1'!Q84</f>
        <v>2</v>
      </c>
      <c r="AD6" s="178">
        <f>'Elev -&gt; klasser 1'!R84</f>
        <v>0</v>
      </c>
      <c r="AE6" s="178">
        <f t="shared" si="15"/>
        <v>2</v>
      </c>
      <c r="AF6" s="178">
        <f t="shared" si="16"/>
        <v>1795952.5246626479</v>
      </c>
      <c r="AG6" s="178">
        <f>'Elev -&gt; klasser 1'!O99</f>
        <v>2</v>
      </c>
      <c r="AH6" s="178">
        <f>'Elev -&gt; klasser 1'!P99</f>
        <v>0</v>
      </c>
      <c r="AI6" s="178">
        <f>'Elev -&gt; klasser 1'!Q99</f>
        <v>0</v>
      </c>
      <c r="AJ6" s="178">
        <f>'Elev -&gt; klasser 1'!R99</f>
        <v>0</v>
      </c>
      <c r="AK6" s="178">
        <f t="shared" si="17"/>
        <v>2</v>
      </c>
      <c r="AL6" s="178">
        <f t="shared" si="2"/>
        <v>1588632.1034853109</v>
      </c>
      <c r="AM6" s="35"/>
      <c r="AN6" s="32" t="s">
        <v>210</v>
      </c>
      <c r="AO6" s="76">
        <f t="shared" si="3"/>
        <v>3</v>
      </c>
      <c r="AP6" s="178">
        <f t="shared" si="4"/>
        <v>0</v>
      </c>
      <c r="AQ6" s="178">
        <f t="shared" si="5"/>
        <v>8</v>
      </c>
      <c r="AR6" s="178">
        <f t="shared" si="6"/>
        <v>0</v>
      </c>
      <c r="AS6" s="178">
        <f t="shared" si="7"/>
        <v>11</v>
      </c>
      <c r="AT6" s="183">
        <f t="shared" si="8"/>
        <v>2</v>
      </c>
      <c r="AX6" s="175">
        <f t="shared" si="9"/>
        <v>9725621.4642270878</v>
      </c>
    </row>
    <row r="7" spans="1:50" x14ac:dyDescent="0.2">
      <c r="A7" s="32" t="s">
        <v>211</v>
      </c>
      <c r="B7" s="178">
        <f>'Elev -&gt; klasser 1'!O25</f>
        <v>0</v>
      </c>
      <c r="C7" s="178">
        <f>'Elev -&gt; klasser 1'!P25</f>
        <v>0</v>
      </c>
      <c r="D7" s="178">
        <f>'Elev -&gt; klasser 1'!Q25</f>
        <v>1</v>
      </c>
      <c r="E7" s="178">
        <f>'Elev -&gt; klasser 1'!R25</f>
        <v>1</v>
      </c>
      <c r="F7" s="178">
        <f t="shared" si="10"/>
        <v>2</v>
      </c>
      <c r="G7" s="178">
        <f t="shared" si="11"/>
        <v>1847782.6299569821</v>
      </c>
      <c r="H7" s="178">
        <f>'Elev -&gt; klasser 1'!O40</f>
        <v>0</v>
      </c>
      <c r="I7" s="178">
        <f>'Elev -&gt; klasser 1'!P40</f>
        <v>0</v>
      </c>
      <c r="J7" s="178">
        <f>'Elev -&gt; klasser 1'!Q40</f>
        <v>2</v>
      </c>
      <c r="K7" s="178">
        <f>'Elev -&gt; klasser 1'!R40</f>
        <v>0</v>
      </c>
      <c r="L7" s="178">
        <f t="shared" si="12"/>
        <v>2</v>
      </c>
      <c r="M7" s="178">
        <f t="shared" si="0"/>
        <v>1795952.5246626479</v>
      </c>
      <c r="N7" s="75" t="s">
        <v>211</v>
      </c>
      <c r="O7" s="178">
        <f>'Elev -&gt; klasser 1'!O55</f>
        <v>0</v>
      </c>
      <c r="P7" s="178">
        <f>'Elev -&gt; klasser 1'!P55</f>
        <v>0</v>
      </c>
      <c r="Q7" s="178">
        <f>'Elev -&gt; klasser 1'!Q55</f>
        <v>0</v>
      </c>
      <c r="R7" s="178">
        <f>'Elev -&gt; klasser 1'!R55</f>
        <v>1</v>
      </c>
      <c r="S7" s="178">
        <f t="shared" si="13"/>
        <v>1</v>
      </c>
      <c r="T7" s="178">
        <f t="shared" si="1"/>
        <v>1029237.9727999237</v>
      </c>
      <c r="U7" s="178">
        <f>'Elev -&gt; klasser 1'!O70</f>
        <v>1</v>
      </c>
      <c r="V7" s="178">
        <f>'Elev -&gt; klasser 1'!P70</f>
        <v>0</v>
      </c>
      <c r="W7" s="178">
        <f>'Elev -&gt; klasser 1'!Q70</f>
        <v>0</v>
      </c>
      <c r="X7" s="178">
        <f>'Elev -&gt; klasser 1'!R70</f>
        <v>0</v>
      </c>
      <c r="Y7" s="178">
        <f t="shared" si="14"/>
        <v>1</v>
      </c>
      <c r="Z7" s="183">
        <f t="shared" si="18"/>
        <v>873747.65691692103</v>
      </c>
      <c r="AA7" s="178">
        <f>'Elev -&gt; klasser 1'!O85</f>
        <v>0</v>
      </c>
      <c r="AB7" s="178">
        <f>'Elev -&gt; klasser 1'!P85</f>
        <v>0</v>
      </c>
      <c r="AC7" s="178">
        <f>'Elev -&gt; klasser 1'!Q85</f>
        <v>2</v>
      </c>
      <c r="AD7" s="178">
        <f>'Elev -&gt; klasser 1'!R85</f>
        <v>0</v>
      </c>
      <c r="AE7" s="178">
        <f t="shared" si="15"/>
        <v>2</v>
      </c>
      <c r="AF7" s="178">
        <f t="shared" si="16"/>
        <v>1795952.5246626479</v>
      </c>
      <c r="AG7" s="178">
        <f>'Elev -&gt; klasser 1'!O100</f>
        <v>0</v>
      </c>
      <c r="AH7" s="178">
        <f>'Elev -&gt; klasser 1'!P100</f>
        <v>0</v>
      </c>
      <c r="AI7" s="178">
        <f>'Elev -&gt; klasser 1'!Q100</f>
        <v>0</v>
      </c>
      <c r="AJ7" s="178">
        <f>'Elev -&gt; klasser 1'!R100</f>
        <v>1</v>
      </c>
      <c r="AK7" s="178">
        <f t="shared" si="17"/>
        <v>1</v>
      </c>
      <c r="AL7" s="178">
        <f t="shared" si="2"/>
        <v>1029237.9727999237</v>
      </c>
      <c r="AM7" s="35"/>
      <c r="AN7" s="32" t="s">
        <v>211</v>
      </c>
      <c r="AO7" s="76">
        <f t="shared" si="3"/>
        <v>1</v>
      </c>
      <c r="AP7" s="178">
        <f t="shared" si="4"/>
        <v>0</v>
      </c>
      <c r="AQ7" s="178">
        <f t="shared" si="5"/>
        <v>5</v>
      </c>
      <c r="AR7" s="178">
        <f t="shared" si="6"/>
        <v>3</v>
      </c>
      <c r="AS7" s="178">
        <f t="shared" si="7"/>
        <v>9</v>
      </c>
      <c r="AT7" s="183">
        <f t="shared" si="8"/>
        <v>3</v>
      </c>
      <c r="AX7" s="175">
        <f t="shared" si="9"/>
        <v>8371911.2817990454</v>
      </c>
    </row>
    <row r="8" spans="1:50" x14ac:dyDescent="0.2">
      <c r="A8" s="32" t="s">
        <v>195</v>
      </c>
      <c r="B8" s="178">
        <f>'Elev -&gt; klasser 1'!O26</f>
        <v>0</v>
      </c>
      <c r="C8" s="178">
        <f>'Elev -&gt; klasser 1'!P26</f>
        <v>0</v>
      </c>
      <c r="D8" s="178">
        <f>'Elev -&gt; klasser 1'!Q26</f>
        <v>3</v>
      </c>
      <c r="E8" s="178">
        <f>'Elev -&gt; klasser 1'!R26</f>
        <v>0</v>
      </c>
      <c r="F8" s="178">
        <f t="shared" si="10"/>
        <v>3</v>
      </c>
      <c r="G8" s="178">
        <f t="shared" si="11"/>
        <v>2693928.786993972</v>
      </c>
      <c r="H8" s="178">
        <f>'Elev -&gt; klasser 1'!O41</f>
        <v>0</v>
      </c>
      <c r="I8" s="178">
        <f>'Elev -&gt; klasser 1'!P41</f>
        <v>2</v>
      </c>
      <c r="J8" s="178">
        <f>'Elev -&gt; klasser 1'!Q41</f>
        <v>0</v>
      </c>
      <c r="K8" s="178">
        <f>'Elev -&gt; klasser 1'!R41</f>
        <v>0</v>
      </c>
      <c r="L8" s="178">
        <f t="shared" si="12"/>
        <v>2</v>
      </c>
      <c r="M8" s="178">
        <f t="shared" si="0"/>
        <v>1692292.3140739794</v>
      </c>
      <c r="N8" s="75" t="s">
        <v>195</v>
      </c>
      <c r="O8" s="178">
        <f>'Elev -&gt; klasser 1'!O56</f>
        <v>2</v>
      </c>
      <c r="P8" s="178">
        <f>'Elev -&gt; klasser 1'!P56</f>
        <v>0</v>
      </c>
      <c r="Q8" s="178">
        <f>'Elev -&gt; klasser 1'!Q56</f>
        <v>0</v>
      </c>
      <c r="R8" s="178">
        <f>'Elev -&gt; klasser 1'!R56</f>
        <v>0</v>
      </c>
      <c r="S8" s="178">
        <f t="shared" si="13"/>
        <v>2</v>
      </c>
      <c r="T8" s="178">
        <f t="shared" si="1"/>
        <v>1588632.1034853109</v>
      </c>
      <c r="U8" s="178">
        <f>'Elev -&gt; klasser 1'!O71</f>
        <v>0</v>
      </c>
      <c r="V8" s="178">
        <f>'Elev -&gt; klasser 1'!P71</f>
        <v>0</v>
      </c>
      <c r="W8" s="178">
        <f>'Elev -&gt; klasser 1'!Q71</f>
        <v>1</v>
      </c>
      <c r="X8" s="178">
        <f>'Elev -&gt; klasser 1'!R71</f>
        <v>0</v>
      </c>
      <c r="Y8" s="178">
        <f t="shared" si="14"/>
        <v>1</v>
      </c>
      <c r="Z8" s="183">
        <f t="shared" si="18"/>
        <v>977407.8675055895</v>
      </c>
      <c r="AA8" s="178">
        <f>'Elev -&gt; klasser 1'!O86</f>
        <v>1</v>
      </c>
      <c r="AB8" s="178">
        <f>'Elev -&gt; klasser 1'!P86</f>
        <v>1</v>
      </c>
      <c r="AC8" s="178">
        <f>'Elev -&gt; klasser 1'!Q86</f>
        <v>0</v>
      </c>
      <c r="AD8" s="178">
        <f>'Elev -&gt; klasser 1'!R86</f>
        <v>0</v>
      </c>
      <c r="AE8" s="178">
        <f t="shared" si="15"/>
        <v>2</v>
      </c>
      <c r="AF8" s="178">
        <f t="shared" si="16"/>
        <v>1640462.2087796452</v>
      </c>
      <c r="AG8" s="178">
        <f>'Elev -&gt; klasser 1'!O101</f>
        <v>2</v>
      </c>
      <c r="AH8" s="178">
        <f>'Elev -&gt; klasser 1'!P101</f>
        <v>0</v>
      </c>
      <c r="AI8" s="178">
        <f>'Elev -&gt; klasser 1'!Q101</f>
        <v>0</v>
      </c>
      <c r="AJ8" s="178">
        <f>'Elev -&gt; klasser 1'!R101</f>
        <v>0</v>
      </c>
      <c r="AK8" s="178">
        <f t="shared" si="17"/>
        <v>2</v>
      </c>
      <c r="AL8" s="178">
        <f t="shared" si="2"/>
        <v>1588632.1034853109</v>
      </c>
      <c r="AM8" s="35"/>
      <c r="AN8" s="32" t="s">
        <v>195</v>
      </c>
      <c r="AO8" s="76">
        <f t="shared" si="3"/>
        <v>5</v>
      </c>
      <c r="AP8" s="178">
        <f t="shared" si="4"/>
        <v>3</v>
      </c>
      <c r="AQ8" s="178">
        <f t="shared" si="5"/>
        <v>4</v>
      </c>
      <c r="AR8" s="178">
        <f t="shared" si="6"/>
        <v>0</v>
      </c>
      <c r="AS8" s="178">
        <f t="shared" si="7"/>
        <v>12</v>
      </c>
      <c r="AT8" s="183">
        <f t="shared" si="8"/>
        <v>1</v>
      </c>
      <c r="AX8" s="175">
        <f t="shared" si="9"/>
        <v>10181355.384323807</v>
      </c>
    </row>
    <row r="9" spans="1:50" x14ac:dyDescent="0.2">
      <c r="A9" s="32" t="s">
        <v>196</v>
      </c>
      <c r="B9" s="178">
        <f>'Elev -&gt; klasser 1'!O27</f>
        <v>0</v>
      </c>
      <c r="C9" s="178">
        <f>'Elev -&gt; klasser 1'!P27</f>
        <v>0</v>
      </c>
      <c r="D9" s="178">
        <f>'Elev -&gt; klasser 1'!Q27</f>
        <v>3</v>
      </c>
      <c r="E9" s="178">
        <f>'Elev -&gt; klasser 1'!R27</f>
        <v>0</v>
      </c>
      <c r="F9" s="178">
        <f t="shared" si="10"/>
        <v>3</v>
      </c>
      <c r="G9" s="178">
        <f t="shared" si="11"/>
        <v>2693928.786993972</v>
      </c>
      <c r="H9" s="178">
        <f>'Elev -&gt; klasser 1'!O42</f>
        <v>0</v>
      </c>
      <c r="I9" s="178">
        <f>'Elev -&gt; klasser 1'!P42</f>
        <v>0</v>
      </c>
      <c r="J9" s="178">
        <f>'Elev -&gt; klasser 1'!Q42</f>
        <v>3</v>
      </c>
      <c r="K9" s="178">
        <f>'Elev -&gt; klasser 1'!R42</f>
        <v>0</v>
      </c>
      <c r="L9" s="178">
        <f t="shared" si="12"/>
        <v>3</v>
      </c>
      <c r="M9" s="178">
        <f t="shared" si="0"/>
        <v>2693928.786993972</v>
      </c>
      <c r="N9" s="75" t="s">
        <v>196</v>
      </c>
      <c r="O9" s="178">
        <f>'Elev -&gt; klasser 1'!O57</f>
        <v>0</v>
      </c>
      <c r="P9" s="178">
        <f>'Elev -&gt; klasser 1'!P57</f>
        <v>0</v>
      </c>
      <c r="Q9" s="178">
        <f>'Elev -&gt; klasser 1'!Q57</f>
        <v>2</v>
      </c>
      <c r="R9" s="178">
        <f>'Elev -&gt; klasser 1'!R57</f>
        <v>0</v>
      </c>
      <c r="S9" s="178">
        <f t="shared" si="13"/>
        <v>2</v>
      </c>
      <c r="T9" s="178">
        <f t="shared" si="1"/>
        <v>1795952.5246626479</v>
      </c>
      <c r="U9" s="178">
        <f>'Elev -&gt; klasser 1'!O72</f>
        <v>0</v>
      </c>
      <c r="V9" s="178">
        <f>'Elev -&gt; klasser 1'!P72</f>
        <v>0</v>
      </c>
      <c r="W9" s="178">
        <f>'Elev -&gt; klasser 1'!Q72</f>
        <v>1</v>
      </c>
      <c r="X9" s="178">
        <f>'Elev -&gt; klasser 1'!R72</f>
        <v>0</v>
      </c>
      <c r="Y9" s="178">
        <f t="shared" si="14"/>
        <v>1</v>
      </c>
      <c r="Z9" s="183">
        <f t="shared" si="18"/>
        <v>977407.8675055895</v>
      </c>
      <c r="AA9" s="178">
        <f>'Elev -&gt; klasser 1'!O87</f>
        <v>2</v>
      </c>
      <c r="AB9" s="178">
        <f>'Elev -&gt; klasser 1'!P87</f>
        <v>0</v>
      </c>
      <c r="AC9" s="178">
        <f>'Elev -&gt; klasser 1'!Q87</f>
        <v>0</v>
      </c>
      <c r="AD9" s="178">
        <f>'Elev -&gt; klasser 1'!R87</f>
        <v>0</v>
      </c>
      <c r="AE9" s="178">
        <f t="shared" si="15"/>
        <v>2</v>
      </c>
      <c r="AF9" s="178">
        <f t="shared" si="16"/>
        <v>1588632.1034853109</v>
      </c>
      <c r="AG9" s="178">
        <f>'Elev -&gt; klasser 1'!O102</f>
        <v>2</v>
      </c>
      <c r="AH9" s="178">
        <f>'Elev -&gt; klasser 1'!P102</f>
        <v>0</v>
      </c>
      <c r="AI9" s="178">
        <f>'Elev -&gt; klasser 1'!Q102</f>
        <v>0</v>
      </c>
      <c r="AJ9" s="178">
        <f>'Elev -&gt; klasser 1'!R102</f>
        <v>0</v>
      </c>
      <c r="AK9" s="178">
        <f t="shared" si="17"/>
        <v>2</v>
      </c>
      <c r="AL9" s="178">
        <f t="shared" si="2"/>
        <v>1588632.1034853109</v>
      </c>
      <c r="AM9" s="35"/>
      <c r="AN9" s="32" t="s">
        <v>196</v>
      </c>
      <c r="AO9" s="76">
        <f t="shared" si="3"/>
        <v>4</v>
      </c>
      <c r="AP9" s="178">
        <f t="shared" si="4"/>
        <v>0</v>
      </c>
      <c r="AQ9" s="178">
        <f t="shared" si="5"/>
        <v>9</v>
      </c>
      <c r="AR9" s="178">
        <f t="shared" si="6"/>
        <v>0</v>
      </c>
      <c r="AS9" s="178">
        <f t="shared" si="7"/>
        <v>13</v>
      </c>
      <c r="AT9" s="183">
        <f t="shared" si="8"/>
        <v>1</v>
      </c>
      <c r="AX9" s="175">
        <f t="shared" si="9"/>
        <v>11338482.173126804</v>
      </c>
    </row>
    <row r="10" spans="1:50" x14ac:dyDescent="0.2">
      <c r="A10" s="32" t="s">
        <v>197</v>
      </c>
      <c r="B10" s="178">
        <f>'Elev -&gt; klasser 1'!O28</f>
        <v>0</v>
      </c>
      <c r="C10" s="178">
        <f>'Elev -&gt; klasser 1'!P28</f>
        <v>0</v>
      </c>
      <c r="D10" s="178">
        <f>'Elev -&gt; klasser 1'!Q28</f>
        <v>0</v>
      </c>
      <c r="E10" s="178">
        <f>'Elev -&gt; klasser 1'!R28</f>
        <v>3</v>
      </c>
      <c r="F10" s="178">
        <f t="shared" si="10"/>
        <v>3</v>
      </c>
      <c r="G10" s="178">
        <f t="shared" si="11"/>
        <v>2849419.1028769743</v>
      </c>
      <c r="H10" s="178">
        <f>'Elev -&gt; klasser 1'!O43</f>
        <v>0</v>
      </c>
      <c r="I10" s="178">
        <f>'Elev -&gt; klasser 1'!P43</f>
        <v>0</v>
      </c>
      <c r="J10" s="178">
        <f>'Elev -&gt; klasser 1'!Q43</f>
        <v>1</v>
      </c>
      <c r="K10" s="178">
        <f>'Elev -&gt; klasser 1'!R43</f>
        <v>1</v>
      </c>
      <c r="L10" s="178">
        <f t="shared" si="12"/>
        <v>2</v>
      </c>
      <c r="M10" s="178">
        <f t="shared" si="0"/>
        <v>1847782.6299569821</v>
      </c>
      <c r="N10" s="75" t="s">
        <v>197</v>
      </c>
      <c r="O10" s="178">
        <f>'Elev -&gt; klasser 1'!O58</f>
        <v>0</v>
      </c>
      <c r="P10" s="178">
        <f>'Elev -&gt; klasser 1'!P58</f>
        <v>0</v>
      </c>
      <c r="Q10" s="178">
        <f>'Elev -&gt; klasser 1'!Q58</f>
        <v>1</v>
      </c>
      <c r="R10" s="178">
        <f>'Elev -&gt; klasser 1'!R58</f>
        <v>0</v>
      </c>
      <c r="S10" s="178">
        <f t="shared" si="13"/>
        <v>1</v>
      </c>
      <c r="T10" s="178">
        <f t="shared" si="1"/>
        <v>977407.8675055895</v>
      </c>
      <c r="U10" s="178">
        <f>'Elev -&gt; klasser 1'!O73</f>
        <v>1</v>
      </c>
      <c r="V10" s="178">
        <f>'Elev -&gt; klasser 1'!P73</f>
        <v>0</v>
      </c>
      <c r="W10" s="178">
        <f>'Elev -&gt; klasser 1'!Q73</f>
        <v>0</v>
      </c>
      <c r="X10" s="178">
        <f>'Elev -&gt; klasser 1'!R73</f>
        <v>0</v>
      </c>
      <c r="Y10" s="178">
        <f t="shared" si="14"/>
        <v>1</v>
      </c>
      <c r="Z10" s="183">
        <f t="shared" si="18"/>
        <v>873747.65691692103</v>
      </c>
      <c r="AA10" s="178">
        <f>'Elev -&gt; klasser 1'!O88</f>
        <v>0</v>
      </c>
      <c r="AB10" s="178">
        <f>'Elev -&gt; klasser 1'!P88</f>
        <v>0</v>
      </c>
      <c r="AC10" s="178">
        <f>'Elev -&gt; klasser 1'!Q88</f>
        <v>2</v>
      </c>
      <c r="AD10" s="178">
        <f>'Elev -&gt; klasser 1'!R88</f>
        <v>0</v>
      </c>
      <c r="AE10" s="178">
        <f t="shared" si="15"/>
        <v>2</v>
      </c>
      <c r="AF10" s="178">
        <f t="shared" si="16"/>
        <v>1795952.5246626479</v>
      </c>
      <c r="AG10" s="178">
        <f>'Elev -&gt; klasser 1'!O103</f>
        <v>1</v>
      </c>
      <c r="AH10" s="178">
        <f>'Elev -&gt; klasser 1'!P103</f>
        <v>1</v>
      </c>
      <c r="AI10" s="178">
        <f>'Elev -&gt; klasser 1'!Q103</f>
        <v>0</v>
      </c>
      <c r="AJ10" s="178">
        <f>'Elev -&gt; klasser 1'!R103</f>
        <v>0</v>
      </c>
      <c r="AK10" s="178">
        <f t="shared" si="17"/>
        <v>2</v>
      </c>
      <c r="AL10" s="178">
        <f t="shared" si="2"/>
        <v>1640462.2087796452</v>
      </c>
      <c r="AM10" s="35"/>
      <c r="AN10" s="32" t="s">
        <v>197</v>
      </c>
      <c r="AO10" s="76">
        <f t="shared" si="3"/>
        <v>2</v>
      </c>
      <c r="AP10" s="178">
        <f t="shared" si="4"/>
        <v>1</v>
      </c>
      <c r="AQ10" s="178">
        <f t="shared" si="5"/>
        <v>4</v>
      </c>
      <c r="AR10" s="178">
        <f t="shared" si="6"/>
        <v>4</v>
      </c>
      <c r="AS10" s="178">
        <f t="shared" si="7"/>
        <v>11</v>
      </c>
      <c r="AT10" s="183">
        <f t="shared" si="8"/>
        <v>2</v>
      </c>
      <c r="AX10" s="175">
        <f t="shared" si="9"/>
        <v>9984771.9906987585</v>
      </c>
    </row>
    <row r="11" spans="1:50" x14ac:dyDescent="0.2">
      <c r="A11" s="32" t="s">
        <v>212</v>
      </c>
      <c r="B11" s="178">
        <f>'Elev -&gt; klasser 1'!O29</f>
        <v>0</v>
      </c>
      <c r="C11" s="178">
        <f>'Elev -&gt; klasser 1'!P29</f>
        <v>0</v>
      </c>
      <c r="D11" s="178">
        <f>'Elev -&gt; klasser 1'!Q29</f>
        <v>2.0000000000000036</v>
      </c>
      <c r="E11" s="178">
        <f>'Elev -&gt; klasser 1'!R29</f>
        <v>0.99999999999999645</v>
      </c>
      <c r="F11" s="178">
        <f t="shared" si="10"/>
        <v>3</v>
      </c>
      <c r="G11" s="178">
        <f t="shared" si="11"/>
        <v>2745758.8922883058</v>
      </c>
      <c r="H11" s="178">
        <f>'Elev -&gt; klasser 1'!O44</f>
        <v>0</v>
      </c>
      <c r="I11" s="178">
        <f>'Elev -&gt; klasser 1'!P44</f>
        <v>0</v>
      </c>
      <c r="J11" s="178">
        <f>'Elev -&gt; klasser 1'!Q44</f>
        <v>2</v>
      </c>
      <c r="K11" s="178">
        <f>'Elev -&gt; klasser 1'!R44</f>
        <v>0</v>
      </c>
      <c r="L11" s="178">
        <f t="shared" si="12"/>
        <v>2</v>
      </c>
      <c r="M11" s="178">
        <f t="shared" si="0"/>
        <v>1795952.5246626479</v>
      </c>
      <c r="N11" s="75" t="s">
        <v>212</v>
      </c>
      <c r="O11" s="178">
        <f>'Elev -&gt; klasser 1'!O59</f>
        <v>0</v>
      </c>
      <c r="P11" s="178">
        <f>'Elev -&gt; klasser 1'!P59</f>
        <v>1</v>
      </c>
      <c r="Q11" s="178">
        <f>'Elev -&gt; klasser 1'!Q59</f>
        <v>1</v>
      </c>
      <c r="R11" s="178">
        <f>'Elev -&gt; klasser 1'!R59</f>
        <v>0</v>
      </c>
      <c r="S11" s="178">
        <f t="shared" si="13"/>
        <v>2</v>
      </c>
      <c r="T11" s="178">
        <f t="shared" si="1"/>
        <v>1744122.4193683136</v>
      </c>
      <c r="U11" s="178">
        <f>'Elev -&gt; klasser 1'!O74</f>
        <v>1</v>
      </c>
      <c r="V11" s="178">
        <f>'Elev -&gt; klasser 1'!P74</f>
        <v>0</v>
      </c>
      <c r="W11" s="178">
        <f>'Elev -&gt; klasser 1'!Q74</f>
        <v>0</v>
      </c>
      <c r="X11" s="178">
        <f>'Elev -&gt; klasser 1'!R74</f>
        <v>0</v>
      </c>
      <c r="Y11" s="178">
        <f t="shared" si="14"/>
        <v>1</v>
      </c>
      <c r="Z11" s="183">
        <f t="shared" si="18"/>
        <v>873747.65691692103</v>
      </c>
      <c r="AA11" s="178">
        <f>'Elev -&gt; klasser 1'!O89</f>
        <v>0</v>
      </c>
      <c r="AB11" s="178">
        <f>'Elev -&gt; klasser 1'!P89</f>
        <v>0</v>
      </c>
      <c r="AC11" s="178">
        <f>'Elev -&gt; klasser 1'!Q89</f>
        <v>2</v>
      </c>
      <c r="AD11" s="178">
        <f>'Elev -&gt; klasser 1'!R89</f>
        <v>0</v>
      </c>
      <c r="AE11" s="178">
        <f t="shared" si="15"/>
        <v>2</v>
      </c>
      <c r="AF11" s="178">
        <f t="shared" si="16"/>
        <v>1795952.5246626479</v>
      </c>
      <c r="AG11" s="178">
        <f>'Elev -&gt; klasser 1'!O104</f>
        <v>0</v>
      </c>
      <c r="AH11" s="178">
        <f>'Elev -&gt; klasser 1'!P104</f>
        <v>0</v>
      </c>
      <c r="AI11" s="178">
        <f>'Elev -&gt; klasser 1'!Q104</f>
        <v>2</v>
      </c>
      <c r="AJ11" s="178">
        <f>'Elev -&gt; klasser 1'!R104</f>
        <v>0</v>
      </c>
      <c r="AK11" s="178">
        <f t="shared" si="17"/>
        <v>2</v>
      </c>
      <c r="AL11" s="178">
        <f t="shared" si="2"/>
        <v>1795952.5246626479</v>
      </c>
      <c r="AM11" s="35"/>
      <c r="AN11" s="32" t="s">
        <v>212</v>
      </c>
      <c r="AO11" s="76">
        <f t="shared" si="3"/>
        <v>1</v>
      </c>
      <c r="AP11" s="178">
        <f t="shared" si="4"/>
        <v>1</v>
      </c>
      <c r="AQ11" s="178">
        <f t="shared" si="5"/>
        <v>9.0000000000000036</v>
      </c>
      <c r="AR11" s="178">
        <f t="shared" si="6"/>
        <v>0.99999999999999645</v>
      </c>
      <c r="AS11" s="178">
        <f t="shared" si="7"/>
        <v>12</v>
      </c>
      <c r="AT11" s="183">
        <f t="shared" si="8"/>
        <v>1</v>
      </c>
      <c r="AX11" s="175">
        <f t="shared" si="9"/>
        <v>10751486.542561483</v>
      </c>
    </row>
    <row r="12" spans="1:50" x14ac:dyDescent="0.2">
      <c r="A12" s="32" t="s">
        <v>213</v>
      </c>
      <c r="B12" s="178">
        <f>'Elev -&gt; klasser 1'!O30</f>
        <v>0</v>
      </c>
      <c r="C12" s="178">
        <f>'Elev -&gt; klasser 1'!P30</f>
        <v>0</v>
      </c>
      <c r="D12" s="178">
        <f>'Elev -&gt; klasser 1'!Q30</f>
        <v>3</v>
      </c>
      <c r="E12" s="178">
        <f>'Elev -&gt; klasser 1'!R30</f>
        <v>0</v>
      </c>
      <c r="F12" s="178">
        <f t="shared" si="10"/>
        <v>3</v>
      </c>
      <c r="G12" s="178">
        <f t="shared" si="11"/>
        <v>2693928.786993972</v>
      </c>
      <c r="H12" s="178">
        <f>'Elev -&gt; klasser 1'!O45</f>
        <v>0</v>
      </c>
      <c r="I12" s="178">
        <f>'Elev -&gt; klasser 1'!P45</f>
        <v>0</v>
      </c>
      <c r="J12" s="178">
        <f>'Elev -&gt; klasser 1'!Q45</f>
        <v>0</v>
      </c>
      <c r="K12" s="178">
        <f>'Elev -&gt; klasser 1'!R45</f>
        <v>2</v>
      </c>
      <c r="L12" s="178">
        <f t="shared" si="12"/>
        <v>2</v>
      </c>
      <c r="M12" s="178">
        <f t="shared" si="0"/>
        <v>1899612.7352513163</v>
      </c>
      <c r="N12" s="75" t="s">
        <v>213</v>
      </c>
      <c r="O12" s="178">
        <f>'Elev -&gt; klasser 1'!O60</f>
        <v>0</v>
      </c>
      <c r="P12" s="178">
        <f>'Elev -&gt; klasser 1'!P60</f>
        <v>0</v>
      </c>
      <c r="Q12" s="178">
        <f>'Elev -&gt; klasser 1'!Q60</f>
        <v>0</v>
      </c>
      <c r="R12" s="178">
        <f>'Elev -&gt; klasser 1'!R60</f>
        <v>2</v>
      </c>
      <c r="S12" s="178">
        <f t="shared" si="13"/>
        <v>2</v>
      </c>
      <c r="T12" s="178">
        <f t="shared" si="1"/>
        <v>1899612.7352513163</v>
      </c>
      <c r="U12" s="178">
        <f>'Elev -&gt; klasser 1'!O75</f>
        <v>0</v>
      </c>
      <c r="V12" s="178">
        <f>'Elev -&gt; klasser 1'!P75</f>
        <v>0</v>
      </c>
      <c r="W12" s="178">
        <f>'Elev -&gt; klasser 1'!Q75</f>
        <v>0</v>
      </c>
      <c r="X12" s="178">
        <f>'Elev -&gt; klasser 1'!R75</f>
        <v>1</v>
      </c>
      <c r="Y12" s="178">
        <f t="shared" si="14"/>
        <v>1</v>
      </c>
      <c r="Z12" s="183">
        <f t="shared" si="18"/>
        <v>1029237.9727999237</v>
      </c>
      <c r="AA12" s="178">
        <f>'Elev -&gt; klasser 1'!O90</f>
        <v>0</v>
      </c>
      <c r="AB12" s="178">
        <f>'Elev -&gt; klasser 1'!P90</f>
        <v>0</v>
      </c>
      <c r="AC12" s="178">
        <f>'Elev -&gt; klasser 1'!Q90</f>
        <v>0</v>
      </c>
      <c r="AD12" s="178">
        <f>'Elev -&gt; klasser 1'!R90</f>
        <v>2</v>
      </c>
      <c r="AE12" s="178">
        <f t="shared" si="15"/>
        <v>2</v>
      </c>
      <c r="AF12" s="178">
        <f t="shared" si="16"/>
        <v>1899612.7352513163</v>
      </c>
      <c r="AG12" s="178">
        <f>'Elev -&gt; klasser 1'!O105</f>
        <v>0</v>
      </c>
      <c r="AH12" s="178">
        <f>'Elev -&gt; klasser 1'!P105</f>
        <v>0</v>
      </c>
      <c r="AI12" s="178">
        <f>'Elev -&gt; klasser 1'!Q105</f>
        <v>0</v>
      </c>
      <c r="AJ12" s="178">
        <f>'Elev -&gt; klasser 1'!R105</f>
        <v>1</v>
      </c>
      <c r="AK12" s="178">
        <f t="shared" si="17"/>
        <v>1</v>
      </c>
      <c r="AL12" s="178">
        <f t="shared" si="2"/>
        <v>1029237.9727999237</v>
      </c>
      <c r="AM12" s="35"/>
      <c r="AN12" s="32" t="s">
        <v>213</v>
      </c>
      <c r="AO12" s="76">
        <f t="shared" si="3"/>
        <v>0</v>
      </c>
      <c r="AP12" s="178">
        <f t="shared" si="4"/>
        <v>0</v>
      </c>
      <c r="AQ12" s="178">
        <f t="shared" si="5"/>
        <v>3</v>
      </c>
      <c r="AR12" s="178">
        <f t="shared" si="6"/>
        <v>8</v>
      </c>
      <c r="AS12" s="178">
        <f t="shared" si="7"/>
        <v>11</v>
      </c>
      <c r="AT12" s="183">
        <f t="shared" si="8"/>
        <v>2</v>
      </c>
      <c r="AX12" s="175">
        <f t="shared" si="9"/>
        <v>10451242.938347768</v>
      </c>
    </row>
    <row r="13" spans="1:50" x14ac:dyDescent="0.2">
      <c r="A13" s="32" t="s">
        <v>214</v>
      </c>
      <c r="B13" s="178">
        <f>'Elev -&gt; klasser 1'!O31</f>
        <v>0</v>
      </c>
      <c r="C13" s="178">
        <f>'Elev -&gt; klasser 1'!P31</f>
        <v>0</v>
      </c>
      <c r="D13" s="178">
        <f>'Elev -&gt; klasser 1'!Q31</f>
        <v>0</v>
      </c>
      <c r="E13" s="178">
        <f>'Elev -&gt; klasser 1'!R31</f>
        <v>3</v>
      </c>
      <c r="F13" s="178">
        <f t="shared" si="10"/>
        <v>3</v>
      </c>
      <c r="G13" s="178">
        <f t="shared" si="11"/>
        <v>2849419.1028769743</v>
      </c>
      <c r="H13" s="178">
        <f>'Elev -&gt; klasser 1'!O46</f>
        <v>0</v>
      </c>
      <c r="I13" s="178">
        <f>'Elev -&gt; klasser 1'!P46</f>
        <v>0</v>
      </c>
      <c r="J13" s="178">
        <f>'Elev -&gt; klasser 1'!Q46</f>
        <v>0</v>
      </c>
      <c r="K13" s="178">
        <f>'Elev -&gt; klasser 1'!R46</f>
        <v>2</v>
      </c>
      <c r="L13" s="178">
        <f t="shared" si="12"/>
        <v>2</v>
      </c>
      <c r="M13" s="178">
        <f t="shared" si="0"/>
        <v>1899612.7352513163</v>
      </c>
      <c r="N13" s="75" t="s">
        <v>214</v>
      </c>
      <c r="O13" s="178">
        <f>'Elev -&gt; klasser 1'!O61</f>
        <v>0</v>
      </c>
      <c r="P13" s="178">
        <f>'Elev -&gt; klasser 1'!P61</f>
        <v>0</v>
      </c>
      <c r="Q13" s="178">
        <f>'Elev -&gt; klasser 1'!Q61</f>
        <v>3</v>
      </c>
      <c r="R13" s="178">
        <f>'Elev -&gt; klasser 1'!R61</f>
        <v>0</v>
      </c>
      <c r="S13" s="178">
        <f t="shared" si="13"/>
        <v>3</v>
      </c>
      <c r="T13" s="178">
        <f t="shared" si="1"/>
        <v>2693928.786993972</v>
      </c>
      <c r="U13" s="178">
        <f>'Elev -&gt; klasser 1'!O76</f>
        <v>1</v>
      </c>
      <c r="V13" s="178">
        <f>'Elev -&gt; klasser 1'!P76</f>
        <v>0</v>
      </c>
      <c r="W13" s="178">
        <f>'Elev -&gt; klasser 1'!Q76</f>
        <v>0</v>
      </c>
      <c r="X13" s="178">
        <f>'Elev -&gt; klasser 1'!R76</f>
        <v>0</v>
      </c>
      <c r="Y13" s="178">
        <f t="shared" si="14"/>
        <v>1</v>
      </c>
      <c r="Z13" s="183">
        <f t="shared" si="18"/>
        <v>873747.65691692103</v>
      </c>
      <c r="AA13" s="178">
        <f>'Elev -&gt; klasser 1'!O91</f>
        <v>0</v>
      </c>
      <c r="AB13" s="178">
        <f>'Elev -&gt; klasser 1'!P91</f>
        <v>0</v>
      </c>
      <c r="AC13" s="178">
        <f>'Elev -&gt; klasser 1'!Q91</f>
        <v>2</v>
      </c>
      <c r="AD13" s="178">
        <f>'Elev -&gt; klasser 1'!R91</f>
        <v>0</v>
      </c>
      <c r="AE13" s="178">
        <f t="shared" si="15"/>
        <v>2</v>
      </c>
      <c r="AF13" s="178">
        <f t="shared" si="16"/>
        <v>1795952.5246626479</v>
      </c>
      <c r="AG13" s="178">
        <f>'Elev -&gt; klasser 1'!O106</f>
        <v>2</v>
      </c>
      <c r="AH13" s="178">
        <f>'Elev -&gt; klasser 1'!P106</f>
        <v>0</v>
      </c>
      <c r="AI13" s="178">
        <f>'Elev -&gt; klasser 1'!Q106</f>
        <v>0</v>
      </c>
      <c r="AJ13" s="178">
        <f>'Elev -&gt; klasser 1'!R106</f>
        <v>0</v>
      </c>
      <c r="AK13" s="178">
        <f t="shared" si="17"/>
        <v>2</v>
      </c>
      <c r="AL13" s="178">
        <f t="shared" si="2"/>
        <v>1588632.1034853109</v>
      </c>
      <c r="AM13" s="35"/>
      <c r="AN13" s="32" t="s">
        <v>214</v>
      </c>
      <c r="AO13" s="76">
        <f t="shared" si="3"/>
        <v>3</v>
      </c>
      <c r="AP13" s="178">
        <f t="shared" si="4"/>
        <v>0</v>
      </c>
      <c r="AQ13" s="178">
        <f t="shared" si="5"/>
        <v>5</v>
      </c>
      <c r="AR13" s="178">
        <f t="shared" si="6"/>
        <v>5</v>
      </c>
      <c r="AS13" s="178">
        <f t="shared" si="7"/>
        <v>13</v>
      </c>
      <c r="AT13" s="183">
        <f t="shared" si="8"/>
        <v>1</v>
      </c>
      <c r="AX13" s="175">
        <f t="shared" si="9"/>
        <v>11701292.910187144</v>
      </c>
    </row>
    <row r="14" spans="1:50" x14ac:dyDescent="0.2">
      <c r="A14" s="32" t="s">
        <v>215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75" t="s">
        <v>215</v>
      </c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83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35"/>
      <c r="AN14" s="32" t="s">
        <v>215</v>
      </c>
      <c r="AO14" s="76"/>
      <c r="AP14" s="178"/>
      <c r="AQ14" s="178"/>
      <c r="AR14" s="178"/>
      <c r="AS14" s="178"/>
      <c r="AT14" s="183"/>
    </row>
    <row r="15" spans="1:50" x14ac:dyDescent="0.2">
      <c r="A15" s="28" t="s">
        <v>18</v>
      </c>
      <c r="B15" s="179">
        <f t="shared" ref="B15:G15" si="19">SUM(B4:B13)</f>
        <v>0</v>
      </c>
      <c r="C15" s="179">
        <f t="shared" si="19"/>
        <v>0</v>
      </c>
      <c r="D15" s="179">
        <f t="shared" si="19"/>
        <v>18.000000000000004</v>
      </c>
      <c r="E15" s="179">
        <f t="shared" si="19"/>
        <v>10.999999999999996</v>
      </c>
      <c r="F15" s="179">
        <f t="shared" si="19"/>
        <v>29</v>
      </c>
      <c r="G15" s="180">
        <f t="shared" si="19"/>
        <v>26611442.765846074</v>
      </c>
      <c r="H15" s="179">
        <f t="shared" ref="H15:T15" si="20">SUM(H4:H13)</f>
        <v>2</v>
      </c>
      <c r="I15" s="179">
        <f t="shared" si="20"/>
        <v>2</v>
      </c>
      <c r="J15" s="179">
        <f t="shared" si="20"/>
        <v>10</v>
      </c>
      <c r="K15" s="179">
        <f t="shared" si="20"/>
        <v>7</v>
      </c>
      <c r="L15" s="179">
        <f t="shared" si="20"/>
        <v>21</v>
      </c>
      <c r="M15" s="180">
        <f t="shared" si="20"/>
        <v>18909331.614252135</v>
      </c>
      <c r="N15" s="210" t="s">
        <v>18</v>
      </c>
      <c r="O15" s="179">
        <f t="shared" si="20"/>
        <v>4</v>
      </c>
      <c r="P15" s="179">
        <f t="shared" si="20"/>
        <v>1</v>
      </c>
      <c r="Q15" s="179">
        <f t="shared" si="20"/>
        <v>8</v>
      </c>
      <c r="R15" s="179">
        <f t="shared" si="20"/>
        <v>4</v>
      </c>
      <c r="S15" s="179">
        <f t="shared" si="20"/>
        <v>17</v>
      </c>
      <c r="T15" s="180">
        <f t="shared" si="20"/>
        <v>15324172.353857897</v>
      </c>
      <c r="U15" s="179">
        <f>SUM(U4:U13)</f>
        <v>6</v>
      </c>
      <c r="V15" s="179">
        <f>SUM(V4:V13)</f>
        <v>0</v>
      </c>
      <c r="W15" s="179">
        <f>SUM(W4:W13)</f>
        <v>3</v>
      </c>
      <c r="X15" s="179">
        <f>SUM(X4:X13)</f>
        <v>1</v>
      </c>
      <c r="Y15" s="179">
        <f>SUM(Y4:Y13)</f>
        <v>10</v>
      </c>
      <c r="Z15" s="184">
        <f>SUM(Z4:Z14)</f>
        <v>9123944.4612470157</v>
      </c>
      <c r="AA15" s="179">
        <f t="shared" ref="AA15:AF15" si="21">SUM(AA4:AA13)</f>
        <v>3</v>
      </c>
      <c r="AB15" s="179">
        <f t="shared" si="21"/>
        <v>1</v>
      </c>
      <c r="AC15" s="179">
        <f t="shared" si="21"/>
        <v>10</v>
      </c>
      <c r="AD15" s="179">
        <f t="shared" si="21"/>
        <v>5</v>
      </c>
      <c r="AE15" s="179">
        <f t="shared" si="21"/>
        <v>19</v>
      </c>
      <c r="AF15" s="180">
        <f t="shared" si="21"/>
        <v>17037320.37888075</v>
      </c>
      <c r="AG15" s="179">
        <f t="shared" ref="AG15:AL15" si="22">SUM(AG4:AG13)</f>
        <v>13</v>
      </c>
      <c r="AH15" s="179">
        <f t="shared" si="22"/>
        <v>1</v>
      </c>
      <c r="AI15" s="179">
        <f t="shared" si="22"/>
        <v>2</v>
      </c>
      <c r="AJ15" s="179">
        <f t="shared" si="22"/>
        <v>2</v>
      </c>
      <c r="AK15" s="179">
        <f t="shared" si="22"/>
        <v>18</v>
      </c>
      <c r="AL15" s="180">
        <f t="shared" si="22"/>
        <v>15026683.299954003</v>
      </c>
      <c r="AM15" s="209"/>
      <c r="AN15" s="28" t="s">
        <v>18</v>
      </c>
      <c r="AO15" s="77">
        <f t="shared" ref="AO15:AT15" si="23">SUM(AO4:AO14)</f>
        <v>28</v>
      </c>
      <c r="AP15" s="179">
        <f t="shared" si="23"/>
        <v>5</v>
      </c>
      <c r="AQ15" s="179">
        <f t="shared" si="23"/>
        <v>51</v>
      </c>
      <c r="AR15" s="179">
        <f t="shared" si="23"/>
        <v>29.999999999999996</v>
      </c>
      <c r="AS15" s="179">
        <f t="shared" si="23"/>
        <v>114</v>
      </c>
      <c r="AT15" s="185">
        <f t="shared" si="23"/>
        <v>17</v>
      </c>
      <c r="AX15" s="175">
        <f>AF15+G15+M15+T15+AL15+Z15</f>
        <v>102032894.87403788</v>
      </c>
    </row>
    <row r="16" spans="1:50" ht="13.5" thickBot="1" x14ac:dyDescent="0.25">
      <c r="A16" s="316"/>
      <c r="B16" s="296"/>
      <c r="C16" s="306"/>
      <c r="D16" s="306"/>
      <c r="E16" s="306"/>
      <c r="F16" s="306"/>
      <c r="G16" s="297"/>
      <c r="H16" s="296"/>
      <c r="I16" s="306"/>
      <c r="J16" s="306"/>
      <c r="K16" s="306"/>
      <c r="L16" s="306"/>
      <c r="M16" s="297"/>
      <c r="N16" s="306"/>
      <c r="O16" s="296"/>
      <c r="P16" s="306"/>
      <c r="Q16" s="306"/>
      <c r="R16" s="306"/>
      <c r="S16" s="306"/>
      <c r="T16" s="297"/>
      <c r="U16" s="296"/>
      <c r="V16" s="306"/>
      <c r="W16" s="306"/>
      <c r="X16" s="306"/>
      <c r="Y16" s="306"/>
      <c r="Z16" s="302"/>
      <c r="AA16" s="296"/>
      <c r="AB16" s="306"/>
      <c r="AC16" s="306"/>
      <c r="AD16" s="306"/>
      <c r="AE16" s="306"/>
      <c r="AF16" s="297"/>
      <c r="AG16" s="296"/>
      <c r="AH16" s="306"/>
      <c r="AI16" s="306"/>
      <c r="AJ16" s="306"/>
      <c r="AK16" s="306"/>
      <c r="AL16" s="297"/>
      <c r="AM16" s="26"/>
      <c r="AN16" s="316"/>
      <c r="AO16" s="306"/>
      <c r="AP16" s="306"/>
      <c r="AQ16" s="306"/>
      <c r="AR16" s="306"/>
      <c r="AS16" s="306"/>
      <c r="AT16" s="302"/>
    </row>
    <row r="17" spans="1:56" ht="13.5" thickBo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1:56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79" t="s">
        <v>276</v>
      </c>
      <c r="O18" s="380"/>
      <c r="P18" s="380"/>
      <c r="Q18" s="380"/>
      <c r="R18" s="381"/>
      <c r="S18" s="206"/>
      <c r="T18" s="26"/>
      <c r="U18" s="346" t="s">
        <v>343</v>
      </c>
      <c r="V18" s="26"/>
      <c r="W18" s="26"/>
      <c r="X18" s="26"/>
      <c r="Y18" s="26"/>
      <c r="Z18" s="26"/>
      <c r="AA18" s="26"/>
      <c r="AB18" s="26"/>
      <c r="AC18" s="26"/>
      <c r="AD18" s="26"/>
    </row>
    <row r="19" spans="1:56" ht="39" thickBot="1" x14ac:dyDescent="0.25">
      <c r="A19" s="26"/>
      <c r="B19" s="26"/>
      <c r="C19" s="26"/>
      <c r="D19" s="26"/>
      <c r="E19" s="26"/>
      <c r="F19" s="26"/>
      <c r="N19" s="324" t="s">
        <v>275</v>
      </c>
      <c r="O19" s="325">
        <v>1</v>
      </c>
      <c r="P19" s="325">
        <v>2</v>
      </c>
      <c r="Q19" s="325">
        <v>3</v>
      </c>
      <c r="R19" s="326">
        <v>4</v>
      </c>
      <c r="S19" s="20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56" ht="41.25" customHeight="1" x14ac:dyDescent="0.2">
      <c r="A20" s="26"/>
      <c r="B20" s="379" t="s">
        <v>283</v>
      </c>
      <c r="C20" s="380"/>
      <c r="D20" s="380"/>
      <c r="E20" s="381"/>
      <c r="F20" s="26"/>
      <c r="G20" s="320" t="s">
        <v>285</v>
      </c>
      <c r="H20" s="321" t="s">
        <v>273</v>
      </c>
      <c r="J20" s="320" t="s">
        <v>285</v>
      </c>
      <c r="K20" s="322" t="s">
        <v>272</v>
      </c>
      <c r="L20" s="323" t="s">
        <v>228</v>
      </c>
      <c r="N20" s="324" t="s">
        <v>274</v>
      </c>
      <c r="O20" s="327">
        <v>0.1</v>
      </c>
      <c r="P20" s="327">
        <v>0</v>
      </c>
      <c r="Q20" s="327">
        <v>0</v>
      </c>
      <c r="R20" s="328">
        <v>0</v>
      </c>
      <c r="S20" s="207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56" ht="28.5" customHeight="1" x14ac:dyDescent="0.2">
      <c r="A21" s="26"/>
      <c r="B21" s="34" t="s">
        <v>284</v>
      </c>
      <c r="C21" s="26"/>
      <c r="D21" s="26"/>
      <c r="E21" s="192">
        <f>(AS15+O20*AT15)*$H$21</f>
        <v>91902367.186625242</v>
      </c>
      <c r="F21" s="26"/>
      <c r="G21" s="195" t="s">
        <v>270</v>
      </c>
      <c r="H21" s="196">
        <f>Prisfremskrivning!B25</f>
        <v>794316.05174265546</v>
      </c>
      <c r="J21" s="195" t="s">
        <v>270</v>
      </c>
      <c r="K21" s="203">
        <v>0</v>
      </c>
      <c r="L21" s="143">
        <f>K21*$E$30</f>
        <v>0</v>
      </c>
      <c r="N21" s="195" t="s">
        <v>270</v>
      </c>
      <c r="O21" s="199">
        <f>$H21*(1+O$20)+$L21</f>
        <v>873747.65691692103</v>
      </c>
      <c r="P21" s="199">
        <f t="shared" ref="O21:R24" si="24">$H21*(1+P$20)+$L21</f>
        <v>794316.05174265546</v>
      </c>
      <c r="Q21" s="199">
        <f t="shared" si="24"/>
        <v>794316.05174265546</v>
      </c>
      <c r="R21" s="200">
        <f t="shared" si="24"/>
        <v>794316.05174265546</v>
      </c>
      <c r="S21" s="205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56" x14ac:dyDescent="0.2">
      <c r="A22" s="26"/>
      <c r="B22" s="125"/>
      <c r="C22" s="134"/>
      <c r="D22" s="134"/>
      <c r="E22" s="138"/>
      <c r="F22" s="26"/>
      <c r="G22" s="195" t="s">
        <v>277</v>
      </c>
      <c r="H22" s="196">
        <f>$H$21</f>
        <v>794316.05174265546</v>
      </c>
      <c r="J22" s="195" t="s">
        <v>277</v>
      </c>
      <c r="K22" s="203">
        <v>1</v>
      </c>
      <c r="L22" s="143">
        <f>K22*$E$30</f>
        <v>51830.105294334237</v>
      </c>
      <c r="N22" s="195" t="s">
        <v>277</v>
      </c>
      <c r="O22" s="199">
        <f t="shared" si="24"/>
        <v>925577.76221125526</v>
      </c>
      <c r="P22" s="199">
        <f t="shared" si="24"/>
        <v>846146.15703698969</v>
      </c>
      <c r="Q22" s="199">
        <f t="shared" si="24"/>
        <v>846146.15703698969</v>
      </c>
      <c r="R22" s="200">
        <f t="shared" si="24"/>
        <v>846146.15703698969</v>
      </c>
      <c r="S22" s="205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56" x14ac:dyDescent="0.2">
      <c r="B23" s="125" t="s">
        <v>293</v>
      </c>
      <c r="C23" s="134"/>
      <c r="D23" s="134"/>
      <c r="E23" s="144">
        <f>(AO15*K21+AP15*K22+AQ15*K23+AR15*K24)</f>
        <v>197</v>
      </c>
      <c r="G23" s="195" t="s">
        <v>278</v>
      </c>
      <c r="H23" s="196">
        <f>$H$21</f>
        <v>794316.05174265546</v>
      </c>
      <c r="J23" s="195" t="s">
        <v>278</v>
      </c>
      <c r="K23" s="203">
        <v>2</v>
      </c>
      <c r="L23" s="143">
        <f>K23*$E$30</f>
        <v>103660.21058866847</v>
      </c>
      <c r="N23" s="195" t="s">
        <v>278</v>
      </c>
      <c r="O23" s="199">
        <f t="shared" si="24"/>
        <v>977407.8675055895</v>
      </c>
      <c r="P23" s="199">
        <f t="shared" si="24"/>
        <v>897976.26233132393</v>
      </c>
      <c r="Q23" s="199">
        <f t="shared" si="24"/>
        <v>897976.26233132393</v>
      </c>
      <c r="R23" s="200">
        <f t="shared" si="24"/>
        <v>897976.26233132393</v>
      </c>
      <c r="S23" s="205"/>
    </row>
    <row r="24" spans="1:56" ht="13.5" thickBot="1" x14ac:dyDescent="0.25">
      <c r="B24" s="34" t="s">
        <v>294</v>
      </c>
      <c r="C24" s="134"/>
      <c r="D24" s="134"/>
      <c r="E24" s="192">
        <f>Prisfremskrivning!G25</f>
        <v>41108.630269833367</v>
      </c>
      <c r="F24" s="211"/>
      <c r="G24" s="197" t="s">
        <v>279</v>
      </c>
      <c r="H24" s="198">
        <f>$H$21</f>
        <v>794316.05174265546</v>
      </c>
      <c r="J24" s="197" t="s">
        <v>279</v>
      </c>
      <c r="K24" s="204">
        <v>3</v>
      </c>
      <c r="L24" s="146">
        <f>K24*$E$30</f>
        <v>155490.31588300271</v>
      </c>
      <c r="N24" s="197" t="s">
        <v>279</v>
      </c>
      <c r="O24" s="201">
        <f t="shared" si="24"/>
        <v>1029237.9727999237</v>
      </c>
      <c r="P24" s="201">
        <f t="shared" si="24"/>
        <v>949806.36762565817</v>
      </c>
      <c r="Q24" s="201">
        <f t="shared" si="24"/>
        <v>949806.36762565817</v>
      </c>
      <c r="R24" s="202">
        <f t="shared" si="24"/>
        <v>949806.36762565817</v>
      </c>
      <c r="S24" s="205"/>
      <c r="BD24" s="22" t="s">
        <v>280</v>
      </c>
    </row>
    <row r="25" spans="1:56" x14ac:dyDescent="0.2">
      <c r="B25" s="34" t="s">
        <v>295</v>
      </c>
      <c r="C25" s="134"/>
      <c r="D25" s="134"/>
      <c r="E25" s="192">
        <f>E23*E24</f>
        <v>8098400.1631571734</v>
      </c>
      <c r="F25" s="211"/>
      <c r="G25" s="70"/>
      <c r="H25" s="212"/>
      <c r="J25" s="70"/>
      <c r="K25" s="213"/>
      <c r="L25" s="214"/>
      <c r="N25" s="70"/>
      <c r="O25" s="205"/>
      <c r="P25" s="205"/>
      <c r="Q25" s="205"/>
      <c r="R25" s="205"/>
      <c r="S25" s="205"/>
      <c r="BD25" s="22"/>
    </row>
    <row r="26" spans="1:56" x14ac:dyDescent="0.2">
      <c r="B26" s="34"/>
      <c r="C26" s="134"/>
      <c r="D26" s="134"/>
      <c r="E26" s="138"/>
      <c r="F26" s="211"/>
      <c r="G26" s="70"/>
      <c r="H26" s="212"/>
      <c r="J26" s="70"/>
      <c r="K26" s="213"/>
      <c r="L26" s="214"/>
      <c r="N26" s="70"/>
      <c r="O26" s="205"/>
      <c r="P26" s="205"/>
      <c r="Q26" s="205"/>
      <c r="R26" s="205"/>
      <c r="S26" s="205"/>
      <c r="BD26" s="22"/>
    </row>
    <row r="27" spans="1:56" x14ac:dyDescent="0.2">
      <c r="B27" s="34" t="s">
        <v>296</v>
      </c>
      <c r="C27" s="134"/>
      <c r="D27" s="134"/>
      <c r="E27" s="192">
        <f>Rammen!B16</f>
        <v>2112130.5798266707</v>
      </c>
      <c r="F27" s="211"/>
      <c r="G27" s="70"/>
      <c r="H27" s="212"/>
      <c r="J27" s="70"/>
      <c r="K27" s="213"/>
      <c r="L27" s="214"/>
      <c r="N27" s="70"/>
      <c r="O27" s="205"/>
      <c r="P27" s="205"/>
      <c r="Q27" s="205"/>
      <c r="R27" s="205"/>
      <c r="S27" s="205"/>
      <c r="BD27" s="22"/>
    </row>
    <row r="28" spans="1:56" x14ac:dyDescent="0.2">
      <c r="B28" s="34" t="s">
        <v>297</v>
      </c>
      <c r="C28" s="134"/>
      <c r="D28" s="134"/>
      <c r="E28" s="192">
        <f>E27/E23</f>
        <v>10721.475024500867</v>
      </c>
      <c r="F28" s="211"/>
      <c r="G28" s="70"/>
      <c r="H28" s="212"/>
      <c r="J28" s="70"/>
      <c r="K28" s="213"/>
      <c r="L28" s="214"/>
      <c r="N28" s="70"/>
      <c r="O28" s="205"/>
      <c r="P28" s="205"/>
      <c r="Q28" s="205"/>
      <c r="R28" s="205"/>
      <c r="S28" s="205"/>
      <c r="BD28" s="22"/>
    </row>
    <row r="29" spans="1:56" x14ac:dyDescent="0.2">
      <c r="B29" s="34"/>
      <c r="C29" s="26"/>
      <c r="D29" s="26"/>
      <c r="E29" s="192"/>
      <c r="F29" s="211"/>
      <c r="G29" s="70"/>
      <c r="H29" s="212"/>
      <c r="J29" s="70"/>
      <c r="K29" s="213"/>
      <c r="L29" s="214"/>
      <c r="N29" s="70"/>
      <c r="O29" s="205"/>
      <c r="P29" s="205"/>
      <c r="Q29" s="205"/>
      <c r="R29" s="205"/>
      <c r="S29" s="205"/>
      <c r="BD29" s="22"/>
    </row>
    <row r="30" spans="1:56" ht="13.5" thickBot="1" x14ac:dyDescent="0.25">
      <c r="B30" s="193" t="s">
        <v>298</v>
      </c>
      <c r="C30" s="147"/>
      <c r="D30" s="147"/>
      <c r="E30" s="194">
        <f>E24+E28</f>
        <v>51830.105294334237</v>
      </c>
      <c r="F30" s="211"/>
      <c r="G30" s="70"/>
      <c r="H30" s="212"/>
      <c r="J30" s="70"/>
      <c r="K30" s="213"/>
      <c r="L30" s="214"/>
      <c r="N30" s="70"/>
      <c r="O30" s="205"/>
      <c r="P30" s="205"/>
      <c r="Q30" s="205"/>
      <c r="R30" s="205"/>
      <c r="S30" s="205"/>
      <c r="BD30" s="22"/>
    </row>
    <row r="31" spans="1:56" x14ac:dyDescent="0.2">
      <c r="B31" s="26"/>
      <c r="C31" s="134"/>
      <c r="D31" s="134"/>
      <c r="E31" s="181"/>
      <c r="F31" s="211"/>
      <c r="G31" s="70"/>
      <c r="H31" s="212"/>
      <c r="J31" s="70"/>
      <c r="K31" s="213"/>
      <c r="L31" s="214"/>
      <c r="N31" s="70"/>
      <c r="O31" s="205"/>
      <c r="P31" s="205"/>
      <c r="Q31" s="205"/>
      <c r="R31" s="205"/>
      <c r="S31" s="205"/>
      <c r="BD31" s="22"/>
    </row>
    <row r="32" spans="1:56" x14ac:dyDescent="0.2">
      <c r="B32" s="26"/>
      <c r="C32" s="134"/>
      <c r="D32" s="134"/>
      <c r="E32" s="181"/>
      <c r="F32" s="211"/>
      <c r="G32" s="70"/>
      <c r="H32" s="212"/>
      <c r="J32" s="70"/>
      <c r="K32" s="213"/>
      <c r="L32" s="214"/>
      <c r="N32" s="70"/>
      <c r="O32" s="205"/>
      <c r="P32" s="205"/>
      <c r="Q32" s="205"/>
      <c r="R32" s="205"/>
      <c r="S32" s="205"/>
      <c r="BD32" s="22"/>
    </row>
    <row r="33" spans="2:56" ht="17.25" x14ac:dyDescent="0.2">
      <c r="B33" s="342" t="s">
        <v>337</v>
      </c>
      <c r="J33" s="70"/>
      <c r="K33" s="213"/>
      <c r="L33" s="214"/>
      <c r="N33" s="70"/>
      <c r="O33" s="205"/>
      <c r="P33" s="205"/>
      <c r="Q33" s="205"/>
      <c r="R33" s="205"/>
      <c r="S33" s="205"/>
      <c r="BD33" s="22"/>
    </row>
    <row r="34" spans="2:56" ht="17.25" x14ac:dyDescent="0.2">
      <c r="B34" s="343" t="s">
        <v>338</v>
      </c>
      <c r="G34" s="175"/>
      <c r="J34" s="70"/>
      <c r="K34" s="213"/>
      <c r="L34" s="214"/>
      <c r="N34" s="70"/>
      <c r="O34" s="205"/>
      <c r="P34" s="205"/>
      <c r="Q34" s="205"/>
      <c r="R34" s="205"/>
      <c r="S34" s="205"/>
      <c r="BD34" s="22"/>
    </row>
    <row r="35" spans="2:56" ht="17.25" x14ac:dyDescent="0.2">
      <c r="B35" s="344" t="s">
        <v>339</v>
      </c>
    </row>
    <row r="36" spans="2:56" ht="17.25" x14ac:dyDescent="0.2">
      <c r="B36" s="344" t="s">
        <v>340</v>
      </c>
    </row>
    <row r="37" spans="2:56" ht="17.25" x14ac:dyDescent="0.2">
      <c r="B37" s="344" t="s">
        <v>341</v>
      </c>
    </row>
    <row r="38" spans="2:56" ht="13.5" thickBot="1" x14ac:dyDescent="0.25"/>
    <row r="39" spans="2:56" x14ac:dyDescent="0.2">
      <c r="B39" s="338">
        <f>27.8*40</f>
        <v>1112</v>
      </c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</row>
    <row r="40" spans="2:56" x14ac:dyDescent="0.2">
      <c r="B40" s="137">
        <f>25*40</f>
        <v>1000</v>
      </c>
      <c r="C40" s="341" t="s">
        <v>336</v>
      </c>
      <c r="D40" s="347" t="s">
        <v>342</v>
      </c>
    </row>
    <row r="41" spans="2:56" x14ac:dyDescent="0.2">
      <c r="B41" s="340">
        <f>H21-(H21/B39*B40)</f>
        <v>80003.055571202771</v>
      </c>
      <c r="H41" s="175"/>
      <c r="M41" s="175"/>
      <c r="Z41" s="175"/>
      <c r="AD41" s="175"/>
    </row>
    <row r="42" spans="2:56" ht="13.5" thickBot="1" x14ac:dyDescent="0.25">
      <c r="B42" s="339">
        <f>O21-B41</f>
        <v>793744.60134571826</v>
      </c>
    </row>
  </sheetData>
  <mergeCells count="9">
    <mergeCell ref="N18:R18"/>
    <mergeCell ref="B20:E20"/>
    <mergeCell ref="U2:Z2"/>
    <mergeCell ref="AO2:AT2"/>
    <mergeCell ref="AA2:AF2"/>
    <mergeCell ref="B2:G2"/>
    <mergeCell ref="H2:M2"/>
    <mergeCell ref="O2:T2"/>
    <mergeCell ref="AG2:AL2"/>
  </mergeCells>
  <pageMargins left="0.7" right="0.7" top="0.75" bottom="0.75" header="0.3" footer="0.3"/>
  <pageSetup paperSize="8" fitToWidth="0" orientation="landscape" r:id="rId1"/>
  <colBreaks count="1" manualBreakCount="1">
    <brk id="4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1</vt:i4>
      </vt:variant>
    </vt:vector>
  </HeadingPairs>
  <TitlesOfParts>
    <vt:vector size="12" baseType="lpstr">
      <vt:lpstr>Ramme</vt:lpstr>
      <vt:lpstr>Forside</vt:lpstr>
      <vt:lpstr>Elever</vt:lpstr>
      <vt:lpstr>Prisfremskrivning</vt:lpstr>
      <vt:lpstr>Rammen</vt:lpstr>
      <vt:lpstr>Grundtildeling</vt:lpstr>
      <vt:lpstr>SFO</vt:lpstr>
      <vt:lpstr>Sociale kriterier</vt:lpstr>
      <vt:lpstr>Klassetildeling</vt:lpstr>
      <vt:lpstr>Samlet oversigt</vt:lpstr>
      <vt:lpstr>Elev -&gt; klasser 1</vt:lpstr>
      <vt:lpstr>Elever!Udskriftsområde</vt:lpstr>
    </vt:vector>
  </TitlesOfParts>
  <Company>Ringsted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oamoni</dc:creator>
  <cp:lastModifiedBy>Dorthe Larsen</cp:lastModifiedBy>
  <cp:lastPrinted>2020-09-21T06:37:28Z</cp:lastPrinted>
  <dcterms:created xsi:type="dcterms:W3CDTF">2007-02-08T19:01:45Z</dcterms:created>
  <dcterms:modified xsi:type="dcterms:W3CDTF">2022-04-21T12:02:51Z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d-0340_2015_80466.Sag_23000072015_62093837016067.Endelig_ressourcetildeling_skoleåret_2015_16.635666128789602129.xlsx</vt:lpwstr>
  </property>
</Properties>
</file>